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. 15 ธ.ค. 66\"/>
    </mc:Choice>
  </mc:AlternateContent>
  <xr:revisionPtr revIDLastSave="0" documentId="13_ncr:1_{2EE2CB0B-AAAB-4285-8785-83BBE373A0FD}" xr6:coauthVersionLast="37" xr6:coauthVersionMax="45" xr10:uidLastSave="{00000000-0000-0000-0000-000000000000}"/>
  <bookViews>
    <workbookView xWindow="0" yWindow="0" windowWidth="24000" windowHeight="9525" xr2:uid="{00000000-000D-0000-FFFF-FFFF00000000}"/>
  </bookViews>
  <sheets>
    <sheet name="ทั้งประเทศ" sheetId="1" r:id="rId1"/>
  </sheets>
  <definedNames>
    <definedName name="_xlnm.Print_Titles" localSheetId="0">ทั้งประเทศ!$5:$6</definedName>
  </definedNames>
  <calcPr calcId="179021"/>
</workbook>
</file>

<file path=xl/calcChain.xml><?xml version="1.0" encoding="utf-8"?>
<calcChain xmlns="http://schemas.openxmlformats.org/spreadsheetml/2006/main">
  <c r="A391" i="1" l="1"/>
  <c r="K388" i="1"/>
  <c r="K387" i="1"/>
  <c r="N385" i="1"/>
  <c r="M385" i="1"/>
  <c r="P385" i="1" s="1"/>
  <c r="L385" i="1"/>
  <c r="N384" i="1"/>
  <c r="M384" i="1"/>
  <c r="P384" i="1" s="1"/>
  <c r="L384" i="1"/>
  <c r="N382" i="1"/>
  <c r="M382" i="1"/>
  <c r="L382" i="1"/>
  <c r="O382" i="1" s="1"/>
  <c r="N381" i="1"/>
  <c r="M381" i="1"/>
  <c r="M378" i="1" s="1"/>
  <c r="P378" i="1" s="1"/>
  <c r="L381" i="1"/>
  <c r="K376" i="1"/>
  <c r="J376" i="1"/>
  <c r="I376" i="1"/>
  <c r="D373" i="1"/>
  <c r="K372" i="1"/>
  <c r="J372" i="1"/>
  <c r="J371" i="1"/>
  <c r="J365" i="1" s="1"/>
  <c r="I371" i="1"/>
  <c r="I365" i="1" s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O364" i="1" s="1"/>
  <c r="N363" i="1"/>
  <c r="M363" i="1"/>
  <c r="L363" i="1"/>
  <c r="O363" i="1" s="1"/>
  <c r="N361" i="1"/>
  <c r="M361" i="1"/>
  <c r="M358" i="1" s="1"/>
  <c r="L361" i="1"/>
  <c r="N360" i="1"/>
  <c r="M360" i="1"/>
  <c r="L360" i="1"/>
  <c r="D354" i="1"/>
  <c r="J353" i="1"/>
  <c r="J352" i="1"/>
  <c r="D350" i="1"/>
  <c r="J349" i="1"/>
  <c r="J348" i="1"/>
  <c r="J347" i="1"/>
  <c r="J346" i="1"/>
  <c r="I346" i="1"/>
  <c r="J344" i="1"/>
  <c r="I344" i="1"/>
  <c r="N341" i="1"/>
  <c r="M341" i="1"/>
  <c r="P341" i="1" s="1"/>
  <c r="L341" i="1"/>
  <c r="O341" i="1" s="1"/>
  <c r="N340" i="1"/>
  <c r="M340" i="1"/>
  <c r="P340" i="1" s="1"/>
  <c r="L340" i="1"/>
  <c r="O340" i="1" s="1"/>
  <c r="N338" i="1"/>
  <c r="M338" i="1"/>
  <c r="L338" i="1"/>
  <c r="N337" i="1"/>
  <c r="M337" i="1"/>
  <c r="L337" i="1"/>
  <c r="J330" i="1"/>
  <c r="J319" i="1" s="1"/>
  <c r="I330" i="1"/>
  <c r="I319" i="1" s="1"/>
  <c r="N328" i="1"/>
  <c r="M328" i="1"/>
  <c r="P328" i="1" s="1"/>
  <c r="L328" i="1"/>
  <c r="O328" i="1" s="1"/>
  <c r="N327" i="1"/>
  <c r="M327" i="1"/>
  <c r="L327" i="1"/>
  <c r="N325" i="1"/>
  <c r="M325" i="1"/>
  <c r="L325" i="1"/>
  <c r="N324" i="1"/>
  <c r="M324" i="1"/>
  <c r="L324" i="1"/>
  <c r="J317" i="1"/>
  <c r="I317" i="1"/>
  <c r="J316" i="1"/>
  <c r="I316" i="1"/>
  <c r="J315" i="1"/>
  <c r="I315" i="1"/>
  <c r="J314" i="1"/>
  <c r="J302" i="1" s="1"/>
  <c r="I314" i="1"/>
  <c r="I302" i="1" s="1"/>
  <c r="J313" i="1"/>
  <c r="N311" i="1"/>
  <c r="M311" i="1"/>
  <c r="L311" i="1"/>
  <c r="O311" i="1" s="1"/>
  <c r="N310" i="1"/>
  <c r="M310" i="1"/>
  <c r="P310" i="1" s="1"/>
  <c r="L310" i="1"/>
  <c r="N308" i="1"/>
  <c r="M308" i="1"/>
  <c r="L308" i="1"/>
  <c r="N307" i="1"/>
  <c r="M307" i="1"/>
  <c r="L307" i="1"/>
  <c r="J296" i="1"/>
  <c r="I296" i="1"/>
  <c r="J295" i="1"/>
  <c r="I295" i="1"/>
  <c r="J293" i="1"/>
  <c r="I293" i="1"/>
  <c r="I280" i="1" s="1"/>
  <c r="J292" i="1"/>
  <c r="J281" i="1" s="1"/>
  <c r="I292" i="1"/>
  <c r="I281" i="1" s="1"/>
  <c r="N290" i="1"/>
  <c r="M290" i="1"/>
  <c r="P290" i="1" s="1"/>
  <c r="L290" i="1"/>
  <c r="O290" i="1" s="1"/>
  <c r="N289" i="1"/>
  <c r="M289" i="1"/>
  <c r="P289" i="1" s="1"/>
  <c r="L289" i="1"/>
  <c r="N287" i="1"/>
  <c r="M287" i="1"/>
  <c r="M284" i="1" s="1"/>
  <c r="L287" i="1"/>
  <c r="N286" i="1"/>
  <c r="M286" i="1"/>
  <c r="L286" i="1"/>
  <c r="N274" i="1"/>
  <c r="M274" i="1"/>
  <c r="P274" i="1" s="1"/>
  <c r="L274" i="1"/>
  <c r="N273" i="1"/>
  <c r="M273" i="1"/>
  <c r="L273" i="1"/>
  <c r="O273" i="1" s="1"/>
  <c r="N271" i="1"/>
  <c r="M271" i="1"/>
  <c r="L271" i="1"/>
  <c r="O271" i="1" s="1"/>
  <c r="N270" i="1"/>
  <c r="M270" i="1"/>
  <c r="L270" i="1"/>
  <c r="K265" i="1"/>
  <c r="K241" i="1"/>
  <c r="J241" i="1"/>
  <c r="K240" i="1"/>
  <c r="J240" i="1"/>
  <c r="J238" i="1"/>
  <c r="I238" i="1"/>
  <c r="N236" i="1"/>
  <c r="L236" i="1"/>
  <c r="N235" i="1"/>
  <c r="L235" i="1"/>
  <c r="N234" i="1"/>
  <c r="L234" i="1"/>
  <c r="N233" i="1"/>
  <c r="L233" i="1"/>
  <c r="J231" i="1"/>
  <c r="I231" i="1"/>
  <c r="J230" i="1"/>
  <c r="J185" i="1" s="1"/>
  <c r="I230" i="1"/>
  <c r="K230" i="1" s="1"/>
  <c r="J229" i="1"/>
  <c r="J221" i="1" s="1"/>
  <c r="I229" i="1"/>
  <c r="J228" i="1"/>
  <c r="I228" i="1"/>
  <c r="N224" i="1"/>
  <c r="L224" i="1"/>
  <c r="N223" i="1"/>
  <c r="L223" i="1"/>
  <c r="J220" i="1"/>
  <c r="J213" i="1" s="1"/>
  <c r="I220" i="1"/>
  <c r="J219" i="1"/>
  <c r="I219" i="1"/>
  <c r="N217" i="1"/>
  <c r="L217" i="1"/>
  <c r="N216" i="1"/>
  <c r="L216" i="1"/>
  <c r="N215" i="1"/>
  <c r="L215" i="1"/>
  <c r="K212" i="1"/>
  <c r="J212" i="1"/>
  <c r="K211" i="1"/>
  <c r="J211" i="1"/>
  <c r="J209" i="1"/>
  <c r="J202" i="1" s="1"/>
  <c r="I209" i="1"/>
  <c r="I202" i="1" s="1"/>
  <c r="N207" i="1"/>
  <c r="L207" i="1"/>
  <c r="N206" i="1"/>
  <c r="L206" i="1"/>
  <c r="N204" i="1"/>
  <c r="L204" i="1"/>
  <c r="J201" i="1"/>
  <c r="J200" i="1"/>
  <c r="J198" i="1"/>
  <c r="J195" i="1" s="1"/>
  <c r="I198" i="1"/>
  <c r="N196" i="1"/>
  <c r="L196" i="1"/>
  <c r="N194" i="1"/>
  <c r="M194" i="1"/>
  <c r="P194" i="1" s="1"/>
  <c r="L194" i="1"/>
  <c r="O194" i="1" s="1"/>
  <c r="N193" i="1"/>
  <c r="M193" i="1"/>
  <c r="L193" i="1"/>
  <c r="N191" i="1"/>
  <c r="M191" i="1"/>
  <c r="L191" i="1"/>
  <c r="N190" i="1"/>
  <c r="M190" i="1"/>
  <c r="L190" i="1"/>
  <c r="K184" i="1"/>
  <c r="J183" i="1"/>
  <c r="J172" i="1" s="1"/>
  <c r="I183" i="1"/>
  <c r="I172" i="1" s="1"/>
  <c r="N181" i="1"/>
  <c r="M181" i="1"/>
  <c r="L181" i="1"/>
  <c r="O181" i="1" s="1"/>
  <c r="N180" i="1"/>
  <c r="M180" i="1"/>
  <c r="P180" i="1" s="1"/>
  <c r="L180" i="1"/>
  <c r="N178" i="1"/>
  <c r="M178" i="1"/>
  <c r="L178" i="1"/>
  <c r="N177" i="1"/>
  <c r="M177" i="1"/>
  <c r="L177" i="1"/>
  <c r="J167" i="1"/>
  <c r="I167" i="1"/>
  <c r="N165" i="1"/>
  <c r="M165" i="1"/>
  <c r="P165" i="1" s="1"/>
  <c r="L165" i="1"/>
  <c r="N164" i="1"/>
  <c r="M164" i="1"/>
  <c r="P164" i="1" s="1"/>
  <c r="L164" i="1"/>
  <c r="O164" i="1" s="1"/>
  <c r="N162" i="1"/>
  <c r="M162" i="1"/>
  <c r="L162" i="1"/>
  <c r="N161" i="1"/>
  <c r="N158" i="1" s="1"/>
  <c r="M161" i="1"/>
  <c r="L161" i="1"/>
  <c r="J156" i="1"/>
  <c r="J154" i="1"/>
  <c r="I154" i="1"/>
  <c r="I136" i="1" s="1"/>
  <c r="J153" i="1"/>
  <c r="J138" i="1" s="1"/>
  <c r="I153" i="1"/>
  <c r="J152" i="1"/>
  <c r="J137" i="1" s="1"/>
  <c r="I152" i="1"/>
  <c r="J151" i="1"/>
  <c r="I151" i="1"/>
  <c r="J150" i="1"/>
  <c r="I150" i="1"/>
  <c r="J149" i="1"/>
  <c r="N147" i="1"/>
  <c r="M147" i="1"/>
  <c r="P147" i="1" s="1"/>
  <c r="L147" i="1"/>
  <c r="O147" i="1" s="1"/>
  <c r="N146" i="1"/>
  <c r="M146" i="1"/>
  <c r="L146" i="1"/>
  <c r="N144" i="1"/>
  <c r="M144" i="1"/>
  <c r="M141" i="1" s="1"/>
  <c r="L144" i="1"/>
  <c r="N143" i="1"/>
  <c r="M143" i="1"/>
  <c r="L143" i="1"/>
  <c r="I137" i="1"/>
  <c r="J136" i="1"/>
  <c r="N133" i="1"/>
  <c r="M133" i="1"/>
  <c r="P133" i="1" s="1"/>
  <c r="L133" i="1"/>
  <c r="O133" i="1" s="1"/>
  <c r="N132" i="1"/>
  <c r="M132" i="1"/>
  <c r="P132" i="1" s="1"/>
  <c r="L132" i="1"/>
  <c r="O132" i="1" s="1"/>
  <c r="N130" i="1"/>
  <c r="M130" i="1"/>
  <c r="P130" i="1" s="1"/>
  <c r="L130" i="1"/>
  <c r="O130" i="1" s="1"/>
  <c r="N129" i="1"/>
  <c r="M129" i="1"/>
  <c r="P129" i="1" s="1"/>
  <c r="L129" i="1"/>
  <c r="O129" i="1" s="1"/>
  <c r="J117" i="1"/>
  <c r="I117" i="1"/>
  <c r="J109" i="1"/>
  <c r="J93" i="1" s="1"/>
  <c r="I109" i="1"/>
  <c r="I93" i="1" s="1"/>
  <c r="J108" i="1"/>
  <c r="J92" i="1" s="1"/>
  <c r="I108" i="1"/>
  <c r="I92" i="1" s="1"/>
  <c r="N102" i="1"/>
  <c r="M102" i="1"/>
  <c r="P102" i="1" s="1"/>
  <c r="L102" i="1"/>
  <c r="O102" i="1" s="1"/>
  <c r="N101" i="1"/>
  <c r="M101" i="1"/>
  <c r="P101" i="1" s="1"/>
  <c r="L101" i="1"/>
  <c r="O101" i="1" s="1"/>
  <c r="N99" i="1"/>
  <c r="M99" i="1"/>
  <c r="M96" i="1" s="1"/>
  <c r="L99" i="1"/>
  <c r="N98" i="1"/>
  <c r="M98" i="1"/>
  <c r="L98" i="1"/>
  <c r="J90" i="1"/>
  <c r="I90" i="1"/>
  <c r="J89" i="1"/>
  <c r="I89" i="1"/>
  <c r="J88" i="1"/>
  <c r="I88" i="1"/>
  <c r="J87" i="1"/>
  <c r="I87" i="1"/>
  <c r="K87" i="1" s="1"/>
  <c r="J86" i="1"/>
  <c r="I86" i="1"/>
  <c r="K86" i="1" s="1"/>
  <c r="J85" i="1"/>
  <c r="I85" i="1"/>
  <c r="K85" i="1" s="1"/>
  <c r="J84" i="1"/>
  <c r="I84" i="1"/>
  <c r="K84" i="1" s="1"/>
  <c r="N80" i="1"/>
  <c r="M80" i="1"/>
  <c r="P80" i="1" s="1"/>
  <c r="L80" i="1"/>
  <c r="O80" i="1" s="1"/>
  <c r="N79" i="1"/>
  <c r="M79" i="1"/>
  <c r="L79" i="1"/>
  <c r="O79" i="1" s="1"/>
  <c r="N77" i="1"/>
  <c r="M77" i="1"/>
  <c r="L77" i="1"/>
  <c r="N76" i="1"/>
  <c r="M76" i="1"/>
  <c r="L76" i="1"/>
  <c r="N67" i="1"/>
  <c r="M67" i="1"/>
  <c r="P67" i="1" s="1"/>
  <c r="L67" i="1"/>
  <c r="O67" i="1" s="1"/>
  <c r="N66" i="1"/>
  <c r="M66" i="1"/>
  <c r="L66" i="1"/>
  <c r="O66" i="1" s="1"/>
  <c r="N64" i="1"/>
  <c r="M64" i="1"/>
  <c r="L64" i="1"/>
  <c r="N63" i="1"/>
  <c r="M63" i="1"/>
  <c r="L63" i="1"/>
  <c r="N55" i="1"/>
  <c r="N29" i="1" s="1"/>
  <c r="M55" i="1"/>
  <c r="M29" i="1" s="1"/>
  <c r="L55" i="1"/>
  <c r="L29" i="1" s="1"/>
  <c r="O29" i="1" s="1"/>
  <c r="N54" i="1"/>
  <c r="N28" i="1" s="1"/>
  <c r="M54" i="1"/>
  <c r="M28" i="1" s="1"/>
  <c r="L54" i="1"/>
  <c r="L28" i="1" s="1"/>
  <c r="N52" i="1"/>
  <c r="M52" i="1"/>
  <c r="P52" i="1" s="1"/>
  <c r="L52" i="1"/>
  <c r="O52" i="1" s="1"/>
  <c r="N51" i="1"/>
  <c r="M51" i="1"/>
  <c r="L51" i="1"/>
  <c r="O51" i="1" s="1"/>
  <c r="N49" i="1"/>
  <c r="M49" i="1"/>
  <c r="L49" i="1"/>
  <c r="N48" i="1"/>
  <c r="M48" i="1"/>
  <c r="L48" i="1"/>
  <c r="M305" i="1" l="1"/>
  <c r="M95" i="1"/>
  <c r="M94" i="1" s="1"/>
  <c r="M357" i="1"/>
  <c r="M356" i="1" s="1"/>
  <c r="M188" i="1"/>
  <c r="O64" i="1"/>
  <c r="P29" i="1"/>
  <c r="M78" i="1"/>
  <c r="P78" i="1" s="1"/>
  <c r="N142" i="1"/>
  <c r="N145" i="1"/>
  <c r="K368" i="1"/>
  <c r="O99" i="1"/>
  <c r="M142" i="1"/>
  <c r="M192" i="1"/>
  <c r="P192" i="1" s="1"/>
  <c r="K238" i="1"/>
  <c r="L326" i="1"/>
  <c r="O326" i="1" s="1"/>
  <c r="P48" i="1"/>
  <c r="K151" i="1"/>
  <c r="K220" i="1"/>
  <c r="O190" i="1"/>
  <c r="P98" i="1"/>
  <c r="N284" i="1"/>
  <c r="P284" i="1" s="1"/>
  <c r="K317" i="1"/>
  <c r="K295" i="1"/>
  <c r="K292" i="1"/>
  <c r="M73" i="1"/>
  <c r="K296" i="1"/>
  <c r="M47" i="1"/>
  <c r="L306" i="1"/>
  <c r="O325" i="1"/>
  <c r="P381" i="1"/>
  <c r="O49" i="1"/>
  <c r="L61" i="1"/>
  <c r="O327" i="1"/>
  <c r="K371" i="1"/>
  <c r="P79" i="1"/>
  <c r="K117" i="1"/>
  <c r="N269" i="1"/>
  <c r="M306" i="1"/>
  <c r="N336" i="1"/>
  <c r="K136" i="1"/>
  <c r="L222" i="1"/>
  <c r="M285" i="1"/>
  <c r="M288" i="1"/>
  <c r="P288" i="1" s="1"/>
  <c r="M380" i="1"/>
  <c r="P380" i="1" s="1"/>
  <c r="L27" i="1"/>
  <c r="N61" i="1"/>
  <c r="O196" i="1"/>
  <c r="K209" i="1"/>
  <c r="L214" i="1"/>
  <c r="L380" i="1"/>
  <c r="O380" i="1" s="1"/>
  <c r="N379" i="1"/>
  <c r="N126" i="1"/>
  <c r="K167" i="1"/>
  <c r="K346" i="1"/>
  <c r="N60" i="1"/>
  <c r="N378" i="1"/>
  <c r="M335" i="1"/>
  <c r="K365" i="1"/>
  <c r="N22" i="1"/>
  <c r="P55" i="1"/>
  <c r="O76" i="1"/>
  <c r="K150" i="1"/>
  <c r="K183" i="1"/>
  <c r="N192" i="1"/>
  <c r="O286" i="1"/>
  <c r="L305" i="1"/>
  <c r="M362" i="1"/>
  <c r="P362" i="1" s="1"/>
  <c r="L378" i="1"/>
  <c r="O378" i="1" s="1"/>
  <c r="M140" i="1"/>
  <c r="M139" i="1" s="1"/>
  <c r="N232" i="1"/>
  <c r="O28" i="1"/>
  <c r="I83" i="1"/>
  <c r="I71" i="1" s="1"/>
  <c r="J82" i="1"/>
  <c r="J70" i="1" s="1"/>
  <c r="M126" i="1"/>
  <c r="P126" i="1" s="1"/>
  <c r="O337" i="1"/>
  <c r="L359" i="1"/>
  <c r="L379" i="1"/>
  <c r="O381" i="1"/>
  <c r="L60" i="1"/>
  <c r="N179" i="1"/>
  <c r="P360" i="1"/>
  <c r="P382" i="1"/>
  <c r="N127" i="1"/>
  <c r="O144" i="1"/>
  <c r="K172" i="1"/>
  <c r="O191" i="1"/>
  <c r="N203" i="1"/>
  <c r="I213" i="1"/>
  <c r="K213" i="1" s="1"/>
  <c r="K228" i="1"/>
  <c r="N272" i="1"/>
  <c r="N288" i="1"/>
  <c r="K316" i="1"/>
  <c r="P337" i="1"/>
  <c r="K344" i="1"/>
  <c r="N96" i="1"/>
  <c r="P96" i="1" s="1"/>
  <c r="N163" i="1"/>
  <c r="P193" i="1"/>
  <c r="M23" i="1"/>
  <c r="P63" i="1"/>
  <c r="L65" i="1"/>
  <c r="O65" i="1" s="1"/>
  <c r="K109" i="1"/>
  <c r="N159" i="1"/>
  <c r="N157" i="1" s="1"/>
  <c r="P270" i="1"/>
  <c r="K281" i="1"/>
  <c r="N339" i="1"/>
  <c r="L357" i="1"/>
  <c r="P28" i="1"/>
  <c r="M27" i="1"/>
  <c r="P49" i="1"/>
  <c r="L62" i="1"/>
  <c r="N65" i="1"/>
  <c r="O77" i="1"/>
  <c r="M26" i="1"/>
  <c r="P26" i="1" s="1"/>
  <c r="L47" i="1"/>
  <c r="M45" i="1"/>
  <c r="M53" i="1"/>
  <c r="M62" i="1"/>
  <c r="P64" i="1"/>
  <c r="L75" i="1"/>
  <c r="P77" i="1"/>
  <c r="N78" i="1"/>
  <c r="J83" i="1"/>
  <c r="J71" i="1" s="1"/>
  <c r="P99" i="1"/>
  <c r="L127" i="1"/>
  <c r="O127" i="1" s="1"/>
  <c r="N131" i="1"/>
  <c r="K152" i="1"/>
  <c r="K154" i="1"/>
  <c r="I168" i="1"/>
  <c r="L268" i="1"/>
  <c r="O268" i="1" s="1"/>
  <c r="N306" i="1"/>
  <c r="N309" i="1"/>
  <c r="K314" i="1"/>
  <c r="L334" i="1"/>
  <c r="M339" i="1"/>
  <c r="P339" i="1" s="1"/>
  <c r="O360" i="1"/>
  <c r="M379" i="1"/>
  <c r="P379" i="1" s="1"/>
  <c r="O385" i="1"/>
  <c r="M75" i="1"/>
  <c r="N23" i="1"/>
  <c r="K89" i="1"/>
  <c r="K93" i="1"/>
  <c r="M100" i="1"/>
  <c r="P100" i="1" s="1"/>
  <c r="M128" i="1"/>
  <c r="P128" i="1" s="1"/>
  <c r="N187" i="1"/>
  <c r="L188" i="1"/>
  <c r="J199" i="1"/>
  <c r="L232" i="1"/>
  <c r="M269" i="1"/>
  <c r="N326" i="1"/>
  <c r="J351" i="1"/>
  <c r="L358" i="1"/>
  <c r="N358" i="1"/>
  <c r="P358" i="1" s="1"/>
  <c r="L272" i="1"/>
  <c r="O272" i="1" s="1"/>
  <c r="N285" i="1"/>
  <c r="K315" i="1"/>
  <c r="O162" i="1"/>
  <c r="K369" i="1"/>
  <c r="P54" i="1"/>
  <c r="N46" i="1"/>
  <c r="M60" i="1"/>
  <c r="K108" i="1"/>
  <c r="N174" i="1"/>
  <c r="K293" i="1"/>
  <c r="K302" i="1"/>
  <c r="M336" i="1"/>
  <c r="P363" i="1"/>
  <c r="N380" i="1"/>
  <c r="M61" i="1"/>
  <c r="M97" i="1"/>
  <c r="N128" i="1"/>
  <c r="M163" i="1"/>
  <c r="P163" i="1" s="1"/>
  <c r="L26" i="1"/>
  <c r="N45" i="1"/>
  <c r="L74" i="1"/>
  <c r="M127" i="1"/>
  <c r="P127" i="1" s="1"/>
  <c r="K137" i="1"/>
  <c r="N141" i="1"/>
  <c r="P141" i="1" s="1"/>
  <c r="N222" i="1"/>
  <c r="N267" i="1"/>
  <c r="O274" i="1"/>
  <c r="N283" i="1"/>
  <c r="L323" i="1"/>
  <c r="I332" i="1"/>
  <c r="L339" i="1"/>
  <c r="O339" i="1" s="1"/>
  <c r="M359" i="1"/>
  <c r="L362" i="1"/>
  <c r="O362" i="1" s="1"/>
  <c r="N383" i="1"/>
  <c r="L142" i="1"/>
  <c r="L140" i="1"/>
  <c r="M323" i="1"/>
  <c r="P324" i="1"/>
  <c r="M321" i="1"/>
  <c r="L25" i="1"/>
  <c r="N27" i="1"/>
  <c r="N47" i="1"/>
  <c r="N74" i="1"/>
  <c r="K153" i="1"/>
  <c r="I138" i="1"/>
  <c r="K138" i="1" s="1"/>
  <c r="P161" i="1"/>
  <c r="M160" i="1"/>
  <c r="O177" i="1"/>
  <c r="L176" i="1"/>
  <c r="L174" i="1"/>
  <c r="P181" i="1"/>
  <c r="M179" i="1"/>
  <c r="P179" i="1" s="1"/>
  <c r="N268" i="1"/>
  <c r="P273" i="1"/>
  <c r="M272" i="1"/>
  <c r="P272" i="1" s="1"/>
  <c r="M267" i="1"/>
  <c r="N321" i="1"/>
  <c r="N323" i="1"/>
  <c r="M25" i="1"/>
  <c r="N26" i="1"/>
  <c r="M46" i="1"/>
  <c r="L50" i="1"/>
  <c r="O50" i="1" s="1"/>
  <c r="N50" i="1"/>
  <c r="L53" i="1"/>
  <c r="M65" i="1"/>
  <c r="P65" i="1" s="1"/>
  <c r="P66" i="1"/>
  <c r="N95" i="1"/>
  <c r="N97" i="1"/>
  <c r="N100" i="1"/>
  <c r="L126" i="1"/>
  <c r="L131" i="1"/>
  <c r="O131" i="1" s="1"/>
  <c r="L141" i="1"/>
  <c r="N140" i="1"/>
  <c r="P143" i="1"/>
  <c r="P144" i="1"/>
  <c r="M158" i="1"/>
  <c r="L179" i="1"/>
  <c r="O179" i="1" s="1"/>
  <c r="O180" i="1"/>
  <c r="N188" i="1"/>
  <c r="N189" i="1"/>
  <c r="P191" i="1"/>
  <c r="K202" i="1"/>
  <c r="O308" i="1"/>
  <c r="M326" i="1"/>
  <c r="P326" i="1" s="1"/>
  <c r="P327" i="1"/>
  <c r="J332" i="1"/>
  <c r="J343" i="1"/>
  <c r="N175" i="1"/>
  <c r="N176" i="1"/>
  <c r="N62" i="1"/>
  <c r="M50" i="1"/>
  <c r="P50" i="1" s="1"/>
  <c r="P51" i="1"/>
  <c r="O55" i="1"/>
  <c r="N75" i="1"/>
  <c r="L78" i="1"/>
  <c r="O78" i="1" s="1"/>
  <c r="K90" i="1"/>
  <c r="L100" i="1"/>
  <c r="O100" i="1" s="1"/>
  <c r="M131" i="1"/>
  <c r="P131" i="1" s="1"/>
  <c r="O143" i="1"/>
  <c r="O165" i="1"/>
  <c r="L159" i="1"/>
  <c r="L163" i="1"/>
  <c r="O163" i="1" s="1"/>
  <c r="P190" i="1"/>
  <c r="M187" i="1"/>
  <c r="M189" i="1"/>
  <c r="K231" i="1"/>
  <c r="I185" i="1"/>
  <c r="K185" i="1" s="1"/>
  <c r="N322" i="1"/>
  <c r="O161" i="1"/>
  <c r="L158" i="1"/>
  <c r="L160" i="1"/>
  <c r="O338" i="1"/>
  <c r="L335" i="1"/>
  <c r="L336" i="1"/>
  <c r="N73" i="1"/>
  <c r="P76" i="1"/>
  <c r="L96" i="1"/>
  <c r="L97" i="1"/>
  <c r="L95" i="1"/>
  <c r="O146" i="1"/>
  <c r="L145" i="1"/>
  <c r="O145" i="1" s="1"/>
  <c r="K198" i="1"/>
  <c r="I195" i="1"/>
  <c r="K195" i="1" s="1"/>
  <c r="K229" i="1"/>
  <c r="I221" i="1"/>
  <c r="K221" i="1" s="1"/>
  <c r="O270" i="1"/>
  <c r="L267" i="1"/>
  <c r="L269" i="1"/>
  <c r="L285" i="1"/>
  <c r="O287" i="1"/>
  <c r="L284" i="1"/>
  <c r="N305" i="1"/>
  <c r="P308" i="1"/>
  <c r="O310" i="1"/>
  <c r="L309" i="1"/>
  <c r="O309" i="1" s="1"/>
  <c r="L304" i="1"/>
  <c r="L46" i="1"/>
  <c r="O48" i="1"/>
  <c r="O63" i="1"/>
  <c r="O98" i="1"/>
  <c r="L23" i="1"/>
  <c r="N25" i="1"/>
  <c r="L45" i="1"/>
  <c r="L22" i="1"/>
  <c r="N53" i="1"/>
  <c r="O54" i="1"/>
  <c r="M22" i="1"/>
  <c r="I82" i="1"/>
  <c r="K88" i="1"/>
  <c r="K92" i="1"/>
  <c r="P146" i="1"/>
  <c r="M145" i="1"/>
  <c r="P145" i="1" s="1"/>
  <c r="M175" i="1"/>
  <c r="P178" i="1"/>
  <c r="O193" i="1"/>
  <c r="L192" i="1"/>
  <c r="O192" i="1" s="1"/>
  <c r="L187" i="1"/>
  <c r="P311" i="1"/>
  <c r="M309" i="1"/>
  <c r="P309" i="1" s="1"/>
  <c r="L73" i="1"/>
  <c r="M74" i="1"/>
  <c r="N160" i="1"/>
  <c r="P177" i="1"/>
  <c r="M174" i="1"/>
  <c r="M176" i="1"/>
  <c r="L189" i="1"/>
  <c r="P307" i="1"/>
  <c r="M304" i="1"/>
  <c r="K319" i="1"/>
  <c r="K330" i="1"/>
  <c r="N335" i="1"/>
  <c r="K219" i="1"/>
  <c r="O289" i="1"/>
  <c r="L288" i="1"/>
  <c r="O288" i="1" s="1"/>
  <c r="N362" i="1"/>
  <c r="O384" i="1"/>
  <c r="L383" i="1"/>
  <c r="L203" i="1"/>
  <c r="N214" i="1"/>
  <c r="J280" i="1"/>
  <c r="K280" i="1" s="1"/>
  <c r="P286" i="1"/>
  <c r="M283" i="1"/>
  <c r="N304" i="1"/>
  <c r="O307" i="1"/>
  <c r="P325" i="1"/>
  <c r="M322" i="1"/>
  <c r="M334" i="1"/>
  <c r="P338" i="1"/>
  <c r="P361" i="1"/>
  <c r="O361" i="1"/>
  <c r="L128" i="1"/>
  <c r="O128" i="1" s="1"/>
  <c r="I156" i="1"/>
  <c r="K156" i="1" s="1"/>
  <c r="P162" i="1"/>
  <c r="M159" i="1"/>
  <c r="P159" i="1" s="1"/>
  <c r="O178" i="1"/>
  <c r="L175" i="1"/>
  <c r="P271" i="1"/>
  <c r="M268" i="1"/>
  <c r="P268" i="1" s="1"/>
  <c r="L283" i="1"/>
  <c r="P287" i="1"/>
  <c r="L322" i="1"/>
  <c r="O324" i="1"/>
  <c r="L321" i="1"/>
  <c r="N334" i="1"/>
  <c r="N357" i="1"/>
  <c r="M383" i="1"/>
  <c r="P383" i="1" s="1"/>
  <c r="N359" i="1"/>
  <c r="P188" i="1" l="1"/>
  <c r="P95" i="1"/>
  <c r="O96" i="1"/>
  <c r="N173" i="1"/>
  <c r="O142" i="1"/>
  <c r="O323" i="1"/>
  <c r="N377" i="1"/>
  <c r="P336" i="1"/>
  <c r="P285" i="1"/>
  <c r="P269" i="1"/>
  <c r="P306" i="1"/>
  <c r="O285" i="1"/>
  <c r="P142" i="1"/>
  <c r="O232" i="1"/>
  <c r="N59" i="1"/>
  <c r="N282" i="1"/>
  <c r="O284" i="1"/>
  <c r="O159" i="1"/>
  <c r="P140" i="1"/>
  <c r="P23" i="1"/>
  <c r="O61" i="1"/>
  <c r="O305" i="1"/>
  <c r="O46" i="1"/>
  <c r="O359" i="1"/>
  <c r="P60" i="1"/>
  <c r="O60" i="1"/>
  <c r="O189" i="1"/>
  <c r="O379" i="1"/>
  <c r="N21" i="1"/>
  <c r="P322" i="1"/>
  <c r="N20" i="1"/>
  <c r="P47" i="1"/>
  <c r="P45" i="1"/>
  <c r="P46" i="1"/>
  <c r="M59" i="1"/>
  <c r="P73" i="1"/>
  <c r="P61" i="1"/>
  <c r="O222" i="1"/>
  <c r="M20" i="1"/>
  <c r="N186" i="1"/>
  <c r="P335" i="1"/>
  <c r="N125" i="1"/>
  <c r="L377" i="1"/>
  <c r="O377" i="1" s="1"/>
  <c r="O269" i="1"/>
  <c r="O27" i="1"/>
  <c r="O214" i="1"/>
  <c r="L59" i="1"/>
  <c r="O336" i="1"/>
  <c r="O358" i="1"/>
  <c r="O97" i="1"/>
  <c r="O74" i="1"/>
  <c r="K332" i="1"/>
  <c r="M377" i="1"/>
  <c r="P377" i="1" s="1"/>
  <c r="O203" i="1"/>
  <c r="O306" i="1"/>
  <c r="P175" i="1"/>
  <c r="N24" i="1"/>
  <c r="N356" i="1"/>
  <c r="P357" i="1"/>
  <c r="O383" i="1"/>
  <c r="O141" i="1"/>
  <c r="N94" i="1"/>
  <c r="P94" i="1" s="1"/>
  <c r="N320" i="1"/>
  <c r="M125" i="1"/>
  <c r="P125" i="1" s="1"/>
  <c r="N333" i="1"/>
  <c r="N44" i="1"/>
  <c r="N19" i="1"/>
  <c r="K168" i="1"/>
  <c r="I169" i="1"/>
  <c r="K169" i="1" s="1"/>
  <c r="O160" i="1"/>
  <c r="P305" i="1"/>
  <c r="P75" i="1"/>
  <c r="K83" i="1"/>
  <c r="O26" i="1"/>
  <c r="P359" i="1"/>
  <c r="P356" i="1"/>
  <c r="O357" i="1"/>
  <c r="K71" i="1"/>
  <c r="O62" i="1"/>
  <c r="O75" i="1"/>
  <c r="L356" i="1"/>
  <c r="N303" i="1"/>
  <c r="P53" i="1"/>
  <c r="O188" i="1"/>
  <c r="N139" i="1"/>
  <c r="P139" i="1" s="1"/>
  <c r="P97" i="1"/>
  <c r="N266" i="1"/>
  <c r="P160" i="1"/>
  <c r="P27" i="1"/>
  <c r="L320" i="1"/>
  <c r="O321" i="1"/>
  <c r="P174" i="1"/>
  <c r="M173" i="1"/>
  <c r="L139" i="1"/>
  <c r="O140" i="1"/>
  <c r="K82" i="1"/>
  <c r="I70" i="1"/>
  <c r="K70" i="1" s="1"/>
  <c r="O45" i="1"/>
  <c r="L44" i="1"/>
  <c r="O267" i="1"/>
  <c r="L266" i="1"/>
  <c r="P62" i="1"/>
  <c r="O322" i="1"/>
  <c r="O175" i="1"/>
  <c r="P304" i="1"/>
  <c r="M303" i="1"/>
  <c r="P303" i="1" s="1"/>
  <c r="O304" i="1"/>
  <c r="L303" i="1"/>
  <c r="N72" i="1"/>
  <c r="O158" i="1"/>
  <c r="L157" i="1"/>
  <c r="O157" i="1" s="1"/>
  <c r="P189" i="1"/>
  <c r="P158" i="1"/>
  <c r="M157" i="1"/>
  <c r="P157" i="1" s="1"/>
  <c r="P267" i="1"/>
  <c r="M266" i="1"/>
  <c r="L173" i="1"/>
  <c r="O174" i="1"/>
  <c r="M44" i="1"/>
  <c r="P334" i="1"/>
  <c r="M333" i="1"/>
  <c r="O25" i="1"/>
  <c r="L24" i="1"/>
  <c r="P74" i="1"/>
  <c r="M72" i="1"/>
  <c r="O187" i="1"/>
  <c r="L186" i="1"/>
  <c r="M21" i="1"/>
  <c r="P22" i="1"/>
  <c r="M19" i="1"/>
  <c r="M186" i="1"/>
  <c r="P187" i="1"/>
  <c r="O126" i="1"/>
  <c r="L125" i="1"/>
  <c r="O125" i="1" s="1"/>
  <c r="P25" i="1"/>
  <c r="M24" i="1"/>
  <c r="P24" i="1" s="1"/>
  <c r="O176" i="1"/>
  <c r="M320" i="1"/>
  <c r="P321" i="1"/>
  <c r="O23" i="1"/>
  <c r="L20" i="1"/>
  <c r="O283" i="1"/>
  <c r="L282" i="1"/>
  <c r="O334" i="1"/>
  <c r="O73" i="1"/>
  <c r="L72" i="1"/>
  <c r="O95" i="1"/>
  <c r="L94" i="1"/>
  <c r="O335" i="1"/>
  <c r="L333" i="1"/>
  <c r="O53" i="1"/>
  <c r="O47" i="1"/>
  <c r="L21" i="1"/>
  <c r="O22" i="1"/>
  <c r="L19" i="1"/>
  <c r="M282" i="1"/>
  <c r="P283" i="1"/>
  <c r="P176" i="1"/>
  <c r="P323" i="1"/>
  <c r="O173" i="1" l="1"/>
  <c r="P173" i="1"/>
  <c r="O282" i="1"/>
  <c r="P186" i="1"/>
  <c r="O59" i="1"/>
  <c r="P59" i="1"/>
  <c r="P20" i="1"/>
  <c r="O21" i="1"/>
  <c r="P282" i="1"/>
  <c r="O303" i="1"/>
  <c r="N18" i="1"/>
  <c r="O20" i="1"/>
  <c r="P21" i="1"/>
  <c r="O186" i="1"/>
  <c r="O320" i="1"/>
  <c r="N40" i="1"/>
  <c r="O94" i="1"/>
  <c r="O24" i="1"/>
  <c r="O356" i="1"/>
  <c r="O333" i="1"/>
  <c r="P333" i="1"/>
  <c r="P320" i="1"/>
  <c r="P266" i="1"/>
  <c r="P72" i="1"/>
  <c r="O266" i="1"/>
  <c r="O72" i="1"/>
  <c r="O139" i="1"/>
  <c r="P19" i="1"/>
  <c r="M18" i="1"/>
  <c r="P18" i="1" s="1"/>
  <c r="O44" i="1"/>
  <c r="L40" i="1"/>
  <c r="O19" i="1"/>
  <c r="L18" i="1"/>
  <c r="M40" i="1"/>
  <c r="P40" i="1" s="1"/>
  <c r="P44" i="1"/>
  <c r="O18" i="1" l="1"/>
  <c r="O40" i="1"/>
</calcChain>
</file>

<file path=xl/sharedStrings.xml><?xml version="1.0" encoding="utf-8"?>
<sst xmlns="http://schemas.openxmlformats.org/spreadsheetml/2006/main" count="667" uniqueCount="153">
  <si>
    <t>รายละเอียดแผนงาน/โครงการ ผลผลิต/กิจกรรม ปีงบประมาณ พ.ศ. 2567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</si>
  <si>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</si>
  <si>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</si>
  <si>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</si>
  <si>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</si>
  <si>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</si>
  <si>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</si>
  <si>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</si>
  <si>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</si>
  <si>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</si>
  <si>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</si>
  <si>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</si>
  <si>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</si>
  <si>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</si>
  <si>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</si>
  <si>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</si>
  <si>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</si>
  <si>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</si>
  <si>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</si>
  <si>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</si>
  <si>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</si>
  <si>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</si>
  <si>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</si>
  <si>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</si>
  <si>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</si>
  <si>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</si>
  <si>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</si>
  <si>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</si>
  <si>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</si>
  <si>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</si>
  <si>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</si>
  <si>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</si>
  <si>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</si>
  <si>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</si>
  <si>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</si>
  <si>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</si>
  <si>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</si>
  <si>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</si>
  <si>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</si>
  <si>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</si>
  <si>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</si>
  <si>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</si>
  <si>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</si>
  <si>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</si>
  <si>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</si>
  <si>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</si>
  <si>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</si>
  <si>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</si>
  <si>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</si>
  <si>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</si>
  <si>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</si>
  <si>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</si>
  <si>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</si>
  <si>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</si>
  <si>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กลุ่ม</t>
  </si>
  <si>
    <t>- การเตรียมการ (การจัดทำฐานข้อมูลสมุนไพรและแผนการผลิต ฯ)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</si>
  <si>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</si>
  <si>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</si>
  <si>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</si>
  <si>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</si>
  <si>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</si>
  <si>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</si>
  <si>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</si>
  <si>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</si>
  <si>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</si>
  <si>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</si>
  <si>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</si>
  <si>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</si>
  <si>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</si>
  <si>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</si>
  <si>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</si>
  <si>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</si>
  <si>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</si>
  <si>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</si>
  <si>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</si>
  <si>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</si>
  <si>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</si>
  <si>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</si>
  <si>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</si>
  <si>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</si>
  <si>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</si>
  <si>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</si>
  <si>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</si>
  <si>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</si>
  <si>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</si>
  <si>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</si>
  <si>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</si>
  <si>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</si>
  <si>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</si>
  <si>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</si>
  <si>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</si>
  <si>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</si>
  <si>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</si>
  <si>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</si>
  <si>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</si>
  <si>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</si>
  <si>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</si>
  <si>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</si>
  <si>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</si>
  <si>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</si>
  <si>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</si>
  <si>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</si>
  <si>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</si>
  <si>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</si>
  <si>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</si>
  <si>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</si>
  <si>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</si>
  <si>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</si>
  <si>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</si>
  <si>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</si>
  <si>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</si>
  <si>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</si>
  <si>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</si>
  <si>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</si>
  <si>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</si>
  <si>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</si>
  <si>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</si>
  <si>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</si>
  <si>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</si>
  <si>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</si>
  <si>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</si>
  <si>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</si>
  <si>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</si>
  <si>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</si>
  <si>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</si>
  <si>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</si>
  <si>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</si>
  <si>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</si>
  <si>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</si>
  <si>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</si>
  <si>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</si>
  <si>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</si>
  <si>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</si>
  <si>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</si>
  <si>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</si>
  <si>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</si>
  <si>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</si>
  <si>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</si>
  <si>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</si>
  <si>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</si>
  <si>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</si>
  <si>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</si>
  <si>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</si>
  <si>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</si>
  <si>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หมายเหตุ :</t>
  </si>
  <si>
    <t>ข้อมูล ณ 15 ธันวาคม 2566</t>
  </si>
  <si>
    <r>
      <rPr>
        <b/>
        <sz val="15"/>
        <color rgb="FF000000"/>
        <rFont val="TH Sarabun New"/>
        <family val="2"/>
      </rPr>
      <t>- หลักสูตรที่ 1</t>
    </r>
    <r>
      <rPr>
        <sz val="15"/>
        <color rgb="FF000000"/>
        <rFont val="TH Sarabun New"/>
        <family val="2"/>
      </rPr>
      <t xml:space="preserve"> การดูแลรักษาโรงอบ ฯ</t>
    </r>
  </si>
  <si>
    <r>
      <rPr>
        <b/>
        <sz val="15"/>
        <color rgb="FF000000"/>
        <rFont val="TH Sarabun New"/>
        <family val="2"/>
      </rPr>
      <t>- หลักสูตรที่ 2</t>
    </r>
    <r>
      <rPr>
        <sz val="15"/>
        <color rgb="FF000000"/>
        <rFont val="TH Sarabun New"/>
        <family val="2"/>
      </rPr>
      <t xml:space="preserve"> การแปรรูปสมุนไพรด้วยโรงอบ ฯ</t>
    </r>
  </si>
  <si>
    <r>
      <t xml:space="preserve">หลักสูตร </t>
    </r>
    <r>
      <rPr>
        <sz val="15"/>
        <color rgb="FF000000"/>
        <rFont val="TH Sarabun New"/>
        <family val="2"/>
      </rPr>
      <t>แนวทางการเฝ้าระวังการเผาไหม้ฯ</t>
    </r>
  </si>
  <si>
    <r>
      <t xml:space="preserve">- เกษตรกรที่เข้าร่วมโครงการ </t>
    </r>
    <r>
      <rPr>
        <b/>
        <sz val="15"/>
        <color rgb="FF000000"/>
        <rFont val="TH Sarabun New"/>
        <family val="2"/>
      </rPr>
      <t>ทั้งหมด</t>
    </r>
  </si>
  <si>
    <r>
      <t xml:space="preserve">- เกษตรกร </t>
    </r>
    <r>
      <rPr>
        <b/>
        <sz val="15"/>
        <color rgb="FF000000"/>
        <rFont val="TH Sarabun New"/>
        <family val="2"/>
      </rPr>
      <t>เฉพาะ</t>
    </r>
    <r>
      <rPr>
        <sz val="15"/>
        <color rgb="FF000000"/>
        <rFont val="TH Sarabun New"/>
        <family val="2"/>
      </rPr>
      <t xml:space="preserve"> ที่ได้รับการอบรม</t>
    </r>
  </si>
  <si>
    <t>ร้อยละ
(ได้รับ)</t>
  </si>
  <si>
    <t>ร้อยละ
(จัดสรร)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</si>
</sst>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</numFmts>
  <fonts count="27">
    <font>
      <sz val="10"/>
      <color rgb="FF000000"/>
      <name val="Arial"/>
      <scheme val="minor"/>
    </font>
    <font>
      <b/>
      <sz val="15"/>
      <color rgb="FF000000"/>
      <name val="TH Sarabun New"/>
      <family val="2"/>
    </font>
    <font>
      <sz val="10"/>
      <color rgb="FF000000"/>
      <name val="TH Sarabun New"/>
      <family val="2"/>
    </font>
    <font>
      <sz val="10"/>
      <name val="TH Sarabun New"/>
      <family val="2"/>
    </font>
    <font>
      <b/>
      <u/>
      <sz val="15"/>
      <color rgb="FF000000"/>
      <name val="TH Sarabun New"/>
      <family val="2"/>
    </font>
    <font>
      <sz val="15"/>
      <color rgb="FF000000"/>
      <name val="TH Sarabun New"/>
      <family val="2"/>
    </font>
    <font>
      <u/>
      <sz val="15"/>
      <color rgb="FF000000"/>
      <name val="TH Sarabun New"/>
      <family val="2"/>
    </font>
    <font>
      <sz val="10"/>
      <color rgb="FFFF0000"/>
      <name val="TH Sarabun New"/>
      <family val="2"/>
    </font>
    <font>
      <sz val="15"/>
      <color rgb="FFFF0000"/>
      <name val="TH Sarabun New"/>
      <family val="2"/>
    </font>
    <font>
      <b/>
      <sz val="15"/>
      <color rgb="FFFF0000"/>
      <name val="TH Sarabun New"/>
      <family val="2"/>
    </font>
    <font>
      <sz val="14"/>
      <color rgb="FFFF0000"/>
      <name val="TH Sarabun New"/>
      <family val="2"/>
    </font>
    <font>
      <sz val="13"/>
      <color rgb="FFFF0000"/>
      <name val="TH Sarabun New"/>
      <family val="2"/>
    </font>
    <font>
      <i/>
      <sz val="15"/>
      <color rgb="FFFF0000"/>
      <name val="TH Sarabun New"/>
      <family val="2"/>
    </font>
    <font>
      <sz val="15"/>
      <color theme="1"/>
      <name val="TH Sarabun New"/>
      <family val="2"/>
    </font>
    <font>
      <b/>
      <u/>
      <sz val="15"/>
      <color rgb="FFFF0000"/>
      <name val="TH Sarabun New"/>
      <family val="2"/>
    </font>
    <font>
      <sz val="14"/>
      <color rgb="FF000000"/>
      <name val="TH Sarabun New"/>
      <family val="2"/>
    </font>
    <font>
      <b/>
      <sz val="15"/>
      <color rgb="FFFFFFFF"/>
      <name val="TH Sarabun New"/>
      <family val="2"/>
    </font>
    <font>
      <sz val="10"/>
      <color rgb="FFFFFFFF"/>
      <name val="TH Sarabun New"/>
      <family val="2"/>
    </font>
    <font>
      <b/>
      <sz val="15"/>
      <color theme="1"/>
      <name val="TH Sarabun New"/>
      <family val="2"/>
    </font>
    <font>
      <sz val="10"/>
      <color theme="1"/>
      <name val="TH Sarabun New"/>
      <family val="2"/>
    </font>
    <font>
      <b/>
      <u/>
      <sz val="15"/>
      <color theme="1"/>
      <name val="TH Sarabun New"/>
      <family val="2"/>
    </font>
    <font>
      <i/>
      <sz val="13"/>
      <color theme="1"/>
      <name val="TH Sarabun New"/>
      <family val="2"/>
    </font>
    <font>
      <sz val="13"/>
      <color rgb="FF000000"/>
      <name val="TH Sarabun New"/>
      <family val="2"/>
    </font>
    <font>
      <i/>
      <sz val="15"/>
      <color rgb="FF000000"/>
      <name val="TH Sarabun New"/>
      <family val="2"/>
    </font>
    <font>
      <i/>
      <sz val="13"/>
      <color rgb="FF000000"/>
      <name val="TH Sarabun New"/>
      <family val="2"/>
    </font>
    <font>
      <b/>
      <sz val="15"/>
      <color theme="0"/>
      <name val="TH Sarabun New"/>
      <family val="2"/>
    </font>
    <font>
      <sz val="10"/>
      <color theme="0"/>
      <name val="TH Sarabun New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99999"/>
      </patternFill>
    </fill>
  </fills>
  <borders count="4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4">
    <xf numFmtId="0" fontId="0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187" fontId="2" fillId="2" borderId="0" xfId="0" applyNumberFormat="1" applyFont="1" applyFill="1" applyAlignment="1"/>
    <xf numFmtId="188" fontId="2" fillId="2" borderId="0" xfId="0" applyNumberFormat="1" applyFont="1" applyFill="1" applyAlignment="1"/>
    <xf numFmtId="188" fontId="1" fillId="5" borderId="6" xfId="0" applyNumberFormat="1" applyFont="1" applyFill="1" applyBorder="1" applyAlignment="1">
      <alignment horizontal="center" wrapText="1"/>
    </xf>
    <xf numFmtId="0" fontId="2" fillId="8" borderId="6" xfId="0" applyFont="1" applyFill="1" applyBorder="1" applyAlignment="1"/>
    <xf numFmtId="189" fontId="2" fillId="8" borderId="6" xfId="0" applyNumberFormat="1" applyFont="1" applyFill="1" applyBorder="1" applyAlignment="1"/>
    <xf numFmtId="188" fontId="2" fillId="8" borderId="6" xfId="0" applyNumberFormat="1" applyFont="1" applyFill="1" applyBorder="1" applyAlignment="1"/>
    <xf numFmtId="0" fontId="2" fillId="8" borderId="7" xfId="0" applyFont="1" applyFill="1" applyBorder="1" applyAlignment="1"/>
    <xf numFmtId="0" fontId="1" fillId="8" borderId="7" xfId="0" applyFont="1" applyFill="1" applyBorder="1" applyAlignment="1"/>
    <xf numFmtId="0" fontId="4" fillId="8" borderId="7" xfId="0" applyFont="1" applyFill="1" applyBorder="1" applyAlignment="1"/>
    <xf numFmtId="0" fontId="2" fillId="8" borderId="8" xfId="0" applyFont="1" applyFill="1" applyBorder="1" applyAlignment="1"/>
    <xf numFmtId="0" fontId="1" fillId="8" borderId="8" xfId="0" applyFont="1" applyFill="1" applyBorder="1" applyAlignment="1">
      <alignment horizontal="center"/>
    </xf>
    <xf numFmtId="189" fontId="2" fillId="8" borderId="8" xfId="0" applyNumberFormat="1" applyFont="1" applyFill="1" applyBorder="1" applyAlignment="1"/>
    <xf numFmtId="188" fontId="2" fillId="8" borderId="8" xfId="0" applyNumberFormat="1" applyFont="1" applyFill="1" applyBorder="1" applyAlignment="1"/>
    <xf numFmtId="188" fontId="1" fillId="8" borderId="8" xfId="0" applyNumberFormat="1" applyFont="1" applyFill="1" applyBorder="1" applyAlignment="1">
      <alignment horizontal="right"/>
    </xf>
    <xf numFmtId="0" fontId="5" fillId="8" borderId="7" xfId="0" applyFont="1" applyFill="1" applyBorder="1" applyAlignment="1"/>
    <xf numFmtId="0" fontId="5" fillId="8" borderId="8" xfId="0" applyFont="1" applyFill="1" applyBorder="1" applyAlignment="1">
      <alignment horizontal="center"/>
    </xf>
    <xf numFmtId="188" fontId="5" fillId="8" borderId="8" xfId="0" applyNumberFormat="1" applyFont="1" applyFill="1" applyBorder="1" applyAlignment="1">
      <alignment horizontal="right"/>
    </xf>
    <xf numFmtId="0" fontId="6" fillId="8" borderId="7" xfId="0" applyFont="1" applyFill="1" applyBorder="1" applyAlignment="1"/>
    <xf numFmtId="0" fontId="2" fillId="8" borderId="3" xfId="0" applyFont="1" applyFill="1" applyBorder="1" applyAlignment="1"/>
    <xf numFmtId="0" fontId="5" fillId="8" borderId="3" xfId="0" applyFont="1" applyFill="1" applyBorder="1" applyAlignment="1"/>
    <xf numFmtId="0" fontId="2" fillId="8" borderId="4" xfId="0" applyFont="1" applyFill="1" applyBorder="1" applyAlignment="1"/>
    <xf numFmtId="0" fontId="5" fillId="8" borderId="4" xfId="0" applyFont="1" applyFill="1" applyBorder="1" applyAlignment="1">
      <alignment horizontal="center"/>
    </xf>
    <xf numFmtId="189" fontId="2" fillId="8" borderId="4" xfId="0" applyNumberFormat="1" applyFont="1" applyFill="1" applyBorder="1" applyAlignment="1"/>
    <xf numFmtId="188" fontId="2" fillId="8" borderId="4" xfId="0" applyNumberFormat="1" applyFont="1" applyFill="1" applyBorder="1" applyAlignment="1"/>
    <xf numFmtId="188" fontId="5" fillId="8" borderId="4" xfId="0" applyNumberFormat="1" applyFont="1" applyFill="1" applyBorder="1" applyAlignment="1">
      <alignment horizontal="right"/>
    </xf>
    <xf numFmtId="0" fontId="2" fillId="9" borderId="4" xfId="0" applyFont="1" applyFill="1" applyBorder="1" applyAlignment="1"/>
    <xf numFmtId="189" fontId="2" fillId="9" borderId="4" xfId="0" applyNumberFormat="1" applyFont="1" applyFill="1" applyBorder="1" applyAlignment="1"/>
    <xf numFmtId="188" fontId="2" fillId="9" borderId="4" xfId="0" applyNumberFormat="1" applyFont="1" applyFill="1" applyBorder="1" applyAlignment="1"/>
    <xf numFmtId="0" fontId="2" fillId="10" borderId="7" xfId="0" applyFont="1" applyFill="1" applyBorder="1" applyAlignment="1"/>
    <xf numFmtId="0" fontId="1" fillId="10" borderId="7" xfId="0" applyFont="1" applyFill="1" applyBorder="1" applyAlignment="1"/>
    <xf numFmtId="0" fontId="4" fillId="10" borderId="7" xfId="0" applyFont="1" applyFill="1" applyBorder="1" applyAlignment="1"/>
    <xf numFmtId="0" fontId="2" fillId="10" borderId="8" xfId="0" applyFont="1" applyFill="1" applyBorder="1" applyAlignment="1"/>
    <xf numFmtId="0" fontId="1" fillId="10" borderId="8" xfId="0" applyFont="1" applyFill="1" applyBorder="1" applyAlignment="1">
      <alignment horizontal="center"/>
    </xf>
    <xf numFmtId="189" fontId="2" fillId="10" borderId="8" xfId="0" applyNumberFormat="1" applyFont="1" applyFill="1" applyBorder="1" applyAlignment="1"/>
    <xf numFmtId="188" fontId="2" fillId="10" borderId="8" xfId="0" applyNumberFormat="1" applyFont="1" applyFill="1" applyBorder="1" applyAlignment="1"/>
    <xf numFmtId="188" fontId="1" fillId="10" borderId="8" xfId="0" applyNumberFormat="1" applyFont="1" applyFill="1" applyBorder="1" applyAlignment="1">
      <alignment horizontal="right"/>
    </xf>
    <xf numFmtId="0" fontId="5" fillId="10" borderId="7" xfId="0" applyFont="1" applyFill="1" applyBorder="1" applyAlignment="1"/>
    <xf numFmtId="0" fontId="5" fillId="10" borderId="8" xfId="0" applyFont="1" applyFill="1" applyBorder="1" applyAlignment="1">
      <alignment horizontal="center"/>
    </xf>
    <xf numFmtId="188" fontId="5" fillId="10" borderId="8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0" fontId="6" fillId="2" borderId="7" xfId="0" applyFont="1" applyFill="1" applyBorder="1" applyAlignment="1"/>
    <xf numFmtId="0" fontId="2" fillId="2" borderId="8" xfId="0" applyFont="1" applyFill="1" applyBorder="1" applyAlignment="1"/>
    <xf numFmtId="0" fontId="5" fillId="2" borderId="8" xfId="0" applyFont="1" applyFill="1" applyBorder="1" applyAlignment="1">
      <alignment horizontal="center"/>
    </xf>
    <xf numFmtId="189" fontId="2" fillId="2" borderId="8" xfId="0" applyNumberFormat="1" applyFont="1" applyFill="1" applyBorder="1" applyAlignment="1"/>
    <xf numFmtId="188" fontId="2" fillId="2" borderId="8" xfId="0" applyNumberFormat="1" applyFont="1" applyFill="1" applyBorder="1" applyAlignment="1"/>
    <xf numFmtId="188" fontId="5" fillId="2" borderId="8" xfId="0" applyNumberFormat="1" applyFont="1" applyFill="1" applyBorder="1" applyAlignment="1">
      <alignment horizontal="right"/>
    </xf>
    <xf numFmtId="0" fontId="5" fillId="2" borderId="7" xfId="0" applyFont="1" applyFill="1" applyBorder="1" applyAlignment="1"/>
    <xf numFmtId="0" fontId="2" fillId="2" borderId="9" xfId="0" applyFont="1" applyFill="1" applyBorder="1" applyAlignment="1"/>
    <xf numFmtId="0" fontId="6" fillId="2" borderId="9" xfId="0" applyFont="1" applyFill="1" applyBorder="1" applyAlignment="1"/>
    <xf numFmtId="0" fontId="2" fillId="2" borderId="10" xfId="0" applyFont="1" applyFill="1" applyBorder="1" applyAlignment="1"/>
    <xf numFmtId="0" fontId="5" fillId="2" borderId="10" xfId="0" applyFont="1" applyFill="1" applyBorder="1" applyAlignment="1">
      <alignment horizontal="center"/>
    </xf>
    <xf numFmtId="189" fontId="2" fillId="2" borderId="10" xfId="0" applyNumberFormat="1" applyFont="1" applyFill="1" applyBorder="1" applyAlignment="1"/>
    <xf numFmtId="188" fontId="2" fillId="2" borderId="10" xfId="0" applyNumberFormat="1" applyFont="1" applyFill="1" applyBorder="1" applyAlignment="1"/>
    <xf numFmtId="188" fontId="5" fillId="2" borderId="10" xfId="0" applyNumberFormat="1" applyFont="1" applyFill="1" applyBorder="1" applyAlignment="1">
      <alignment horizontal="right"/>
    </xf>
    <xf numFmtId="0" fontId="2" fillId="2" borderId="3" xfId="0" applyFont="1" applyFill="1" applyBorder="1" applyAlignment="1"/>
    <xf numFmtId="0" fontId="5" fillId="2" borderId="3" xfId="0" applyFont="1" applyFill="1" applyBorder="1" applyAlignment="1"/>
    <xf numFmtId="0" fontId="2" fillId="2" borderId="4" xfId="0" applyFont="1" applyFill="1" applyBorder="1" applyAlignment="1"/>
    <xf numFmtId="0" fontId="5" fillId="2" borderId="4" xfId="0" applyFont="1" applyFill="1" applyBorder="1" applyAlignment="1">
      <alignment horizontal="center"/>
    </xf>
    <xf numFmtId="189" fontId="2" fillId="2" borderId="4" xfId="0" applyNumberFormat="1" applyFont="1" applyFill="1" applyBorder="1" applyAlignment="1"/>
    <xf numFmtId="188" fontId="2" fillId="2" borderId="4" xfId="0" applyNumberFormat="1" applyFont="1" applyFill="1" applyBorder="1" applyAlignment="1"/>
    <xf numFmtId="188" fontId="5" fillId="2" borderId="4" xfId="0" applyNumberFormat="1" applyFont="1" applyFill="1" applyBorder="1" applyAlignment="1">
      <alignment horizontal="right"/>
    </xf>
    <xf numFmtId="0" fontId="2" fillId="11" borderId="11" xfId="0" applyFont="1" applyFill="1" applyBorder="1" applyAlignment="1"/>
    <xf numFmtId="189" fontId="2" fillId="11" borderId="11" xfId="0" applyNumberFormat="1" applyFont="1" applyFill="1" applyBorder="1" applyAlignment="1"/>
    <xf numFmtId="188" fontId="2" fillId="11" borderId="11" xfId="0" applyNumberFormat="1" applyFont="1" applyFill="1" applyBorder="1" applyAlignment="1"/>
    <xf numFmtId="188" fontId="1" fillId="11" borderId="11" xfId="0" applyNumberFormat="1" applyFont="1" applyFill="1" applyBorder="1" applyAlignment="1">
      <alignment horizontal="right"/>
    </xf>
    <xf numFmtId="0" fontId="2" fillId="12" borderId="1" xfId="0" applyFont="1" applyFill="1" applyBorder="1" applyAlignment="1"/>
    <xf numFmtId="189" fontId="2" fillId="12" borderId="1" xfId="0" applyNumberFormat="1" applyFont="1" applyFill="1" applyBorder="1" applyAlignment="1"/>
    <xf numFmtId="188" fontId="2" fillId="12" borderId="1" xfId="0" applyNumberFormat="1" applyFont="1" applyFill="1" applyBorder="1" applyAlignment="1"/>
    <xf numFmtId="0" fontId="2" fillId="13" borderId="7" xfId="0" applyFont="1" applyFill="1" applyBorder="1" applyAlignment="1"/>
    <xf numFmtId="0" fontId="1" fillId="13" borderId="7" xfId="0" applyFont="1" applyFill="1" applyBorder="1" applyAlignment="1"/>
    <xf numFmtId="0" fontId="2" fillId="13" borderId="12" xfId="0" applyFont="1" applyFill="1" applyBorder="1" applyAlignment="1"/>
    <xf numFmtId="189" fontId="2" fillId="13" borderId="12" xfId="0" applyNumberFormat="1" applyFont="1" applyFill="1" applyBorder="1" applyAlignment="1"/>
    <xf numFmtId="188" fontId="2" fillId="13" borderId="12" xfId="0" applyNumberFormat="1" applyFont="1" applyFill="1" applyBorder="1" applyAlignment="1"/>
    <xf numFmtId="0" fontId="2" fillId="14" borderId="7" xfId="0" applyFont="1" applyFill="1" applyBorder="1" applyAlignment="1"/>
    <xf numFmtId="0" fontId="1" fillId="14" borderId="7" xfId="0" applyFont="1" applyFill="1" applyBorder="1" applyAlignment="1"/>
    <xf numFmtId="0" fontId="4" fillId="14" borderId="7" xfId="0" applyFont="1" applyFill="1" applyBorder="1" applyAlignment="1"/>
    <xf numFmtId="0" fontId="2" fillId="14" borderId="8" xfId="0" applyFont="1" applyFill="1" applyBorder="1" applyAlignment="1"/>
    <xf numFmtId="0" fontId="1" fillId="14" borderId="8" xfId="0" applyFont="1" applyFill="1" applyBorder="1" applyAlignment="1">
      <alignment horizontal="center"/>
    </xf>
    <xf numFmtId="189" fontId="2" fillId="14" borderId="8" xfId="0" applyNumberFormat="1" applyFont="1" applyFill="1" applyBorder="1" applyAlignment="1"/>
    <xf numFmtId="188" fontId="2" fillId="14" borderId="8" xfId="0" applyNumberFormat="1" applyFont="1" applyFill="1" applyBorder="1" applyAlignment="1"/>
    <xf numFmtId="188" fontId="1" fillId="14" borderId="8" xfId="0" applyNumberFormat="1" applyFont="1" applyFill="1" applyBorder="1" applyAlignment="1">
      <alignment horizontal="right"/>
    </xf>
    <xf numFmtId="0" fontId="5" fillId="14" borderId="7" xfId="0" applyFont="1" applyFill="1" applyBorder="1" applyAlignment="1"/>
    <xf numFmtId="0" fontId="5" fillId="14" borderId="8" xfId="0" applyFont="1" applyFill="1" applyBorder="1" applyAlignment="1">
      <alignment horizontal="center"/>
    </xf>
    <xf numFmtId="188" fontId="5" fillId="14" borderId="8" xfId="0" applyNumberFormat="1" applyFont="1" applyFill="1" applyBorder="1" applyAlignment="1">
      <alignment horizontal="right"/>
    </xf>
    <xf numFmtId="0" fontId="2" fillId="15" borderId="1" xfId="0" applyFont="1" applyFill="1" applyBorder="1" applyAlignment="1"/>
    <xf numFmtId="189" fontId="2" fillId="15" borderId="1" xfId="0" applyNumberFormat="1" applyFont="1" applyFill="1" applyBorder="1" applyAlignment="1"/>
    <xf numFmtId="188" fontId="2" fillId="15" borderId="1" xfId="0" applyNumberFormat="1" applyFont="1" applyFill="1" applyBorder="1" applyAlignment="1"/>
    <xf numFmtId="0" fontId="2" fillId="16" borderId="8" xfId="0" applyFont="1" applyFill="1" applyBorder="1" applyAlignment="1"/>
    <xf numFmtId="189" fontId="2" fillId="16" borderId="8" xfId="0" applyNumberFormat="1" applyFont="1" applyFill="1" applyBorder="1" applyAlignment="1"/>
    <xf numFmtId="188" fontId="2" fillId="16" borderId="8" xfId="0" applyNumberFormat="1" applyFont="1" applyFill="1" applyBorder="1" applyAlignment="1"/>
    <xf numFmtId="0" fontId="1" fillId="17" borderId="7" xfId="0" applyFont="1" applyFill="1" applyBorder="1" applyAlignment="1"/>
    <xf numFmtId="0" fontId="2" fillId="17" borderId="7" xfId="0" applyFont="1" applyFill="1" applyBorder="1" applyAlignment="1"/>
    <xf numFmtId="0" fontId="2" fillId="17" borderId="8" xfId="0" applyFont="1" applyFill="1" applyBorder="1" applyAlignment="1"/>
    <xf numFmtId="189" fontId="2" fillId="17" borderId="8" xfId="0" applyNumberFormat="1" applyFont="1" applyFill="1" applyBorder="1" applyAlignment="1"/>
    <xf numFmtId="188" fontId="2" fillId="17" borderId="8" xfId="0" applyNumberFormat="1" applyFont="1" applyFill="1" applyBorder="1" applyAlignment="1"/>
    <xf numFmtId="0" fontId="2" fillId="18" borderId="7" xfId="0" applyFont="1" applyFill="1" applyBorder="1" applyAlignment="1"/>
    <xf numFmtId="0" fontId="1" fillId="18" borderId="7" xfId="0" applyFont="1" applyFill="1" applyBorder="1" applyAlignment="1"/>
    <xf numFmtId="0" fontId="4" fillId="18" borderId="7" xfId="0" applyFont="1" applyFill="1" applyBorder="1" applyAlignment="1"/>
    <xf numFmtId="0" fontId="2" fillId="18" borderId="8" xfId="0" applyFont="1" applyFill="1" applyBorder="1" applyAlignment="1"/>
    <xf numFmtId="0" fontId="1" fillId="18" borderId="8" xfId="0" applyFont="1" applyFill="1" applyBorder="1" applyAlignment="1">
      <alignment horizontal="center"/>
    </xf>
    <xf numFmtId="189" fontId="2" fillId="18" borderId="8" xfId="0" applyNumberFormat="1" applyFont="1" applyFill="1" applyBorder="1" applyAlignment="1"/>
    <xf numFmtId="188" fontId="2" fillId="18" borderId="8" xfId="0" applyNumberFormat="1" applyFont="1" applyFill="1" applyBorder="1" applyAlignment="1"/>
    <xf numFmtId="188" fontId="1" fillId="18" borderId="8" xfId="0" applyNumberFormat="1" applyFont="1" applyFill="1" applyBorder="1" applyAlignment="1">
      <alignment horizontal="right"/>
    </xf>
    <xf numFmtId="0" fontId="5" fillId="18" borderId="7" xfId="0" applyFont="1" applyFill="1" applyBorder="1" applyAlignment="1"/>
    <xf numFmtId="0" fontId="5" fillId="18" borderId="8" xfId="0" applyFont="1" applyFill="1" applyBorder="1" applyAlignment="1">
      <alignment horizontal="center"/>
    </xf>
    <xf numFmtId="188" fontId="5" fillId="18" borderId="8" xfId="0" applyNumberFormat="1" applyFont="1" applyFill="1" applyBorder="1" applyAlignment="1">
      <alignment horizontal="right"/>
    </xf>
    <xf numFmtId="0" fontId="2" fillId="2" borderId="11" xfId="0" applyFont="1" applyFill="1" applyBorder="1" applyAlignment="1"/>
    <xf numFmtId="0" fontId="5" fillId="2" borderId="11" xfId="0" applyFont="1" applyFill="1" applyBorder="1" applyAlignment="1">
      <alignment horizontal="center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8" fontId="5" fillId="2" borderId="11" xfId="0" applyNumberFormat="1" applyFont="1" applyFill="1" applyBorder="1" applyAlignment="1">
      <alignment horizontal="right"/>
    </xf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189" fontId="2" fillId="19" borderId="1" xfId="0" applyNumberFormat="1" applyFont="1" applyFill="1" applyBorder="1" applyAlignment="1"/>
    <xf numFmtId="188" fontId="2" fillId="19" borderId="1" xfId="0" applyNumberFormat="1" applyFont="1" applyFill="1" applyBorder="1" applyAlignment="1"/>
    <xf numFmtId="0" fontId="2" fillId="20" borderId="7" xfId="0" applyFont="1" applyFill="1" applyBorder="1" applyAlignment="1"/>
    <xf numFmtId="187" fontId="2" fillId="20" borderId="7" xfId="0" applyNumberFormat="1" applyFont="1" applyFill="1" applyBorder="1" applyAlignment="1"/>
    <xf numFmtId="0" fontId="2" fillId="20" borderId="8" xfId="0" applyFont="1" applyFill="1" applyBorder="1" applyAlignment="1"/>
    <xf numFmtId="189" fontId="2" fillId="20" borderId="8" xfId="0" applyNumberFormat="1" applyFont="1" applyFill="1" applyBorder="1" applyAlignment="1"/>
    <xf numFmtId="188" fontId="2" fillId="20" borderId="8" xfId="0" applyNumberFormat="1" applyFont="1" applyFill="1" applyBorder="1" applyAlignment="1"/>
    <xf numFmtId="187" fontId="2" fillId="10" borderId="7" xfId="0" applyNumberFormat="1" applyFont="1" applyFill="1" applyBorder="1" applyAlignment="1"/>
    <xf numFmtId="0" fontId="1" fillId="10" borderId="8" xfId="0" applyFont="1" applyFill="1" applyBorder="1" applyAlignment="1">
      <alignment horizontal="center" wrapText="1"/>
    </xf>
    <xf numFmtId="189" fontId="1" fillId="10" borderId="8" xfId="0" applyNumberFormat="1" applyFont="1" applyFill="1" applyBorder="1" applyAlignment="1">
      <alignment horizontal="right"/>
    </xf>
    <xf numFmtId="0" fontId="1" fillId="2" borderId="7" xfId="0" applyFont="1" applyFill="1" applyBorder="1" applyAlignment="1"/>
    <xf numFmtId="0" fontId="4" fillId="2" borderId="7" xfId="0" applyFont="1" applyFill="1" applyBorder="1" applyAlignment="1"/>
    <xf numFmtId="187" fontId="1" fillId="2" borderId="8" xfId="0" applyNumberFormat="1" applyFont="1" applyFill="1" applyBorder="1" applyAlignment="1">
      <alignment horizontal="center"/>
    </xf>
    <xf numFmtId="188" fontId="1" fillId="2" borderId="8" xfId="0" applyNumberFormat="1" applyFont="1" applyFill="1" applyBorder="1" applyAlignment="1">
      <alignment horizontal="right"/>
    </xf>
    <xf numFmtId="187" fontId="5" fillId="2" borderId="8" xfId="0" applyNumberFormat="1" applyFont="1" applyFill="1" applyBorder="1" applyAlignment="1">
      <alignment horizontal="center"/>
    </xf>
    <xf numFmtId="187" fontId="5" fillId="0" borderId="8" xfId="0" applyNumberFormat="1" applyFont="1" applyBorder="1" applyAlignment="1">
      <alignment horizontal="center" wrapText="1"/>
    </xf>
    <xf numFmtId="189" fontId="2" fillId="0" borderId="8" xfId="0" applyNumberFormat="1" applyFont="1" applyBorder="1" applyAlignment="1"/>
    <xf numFmtId="188" fontId="2" fillId="0" borderId="8" xfId="0" applyNumberFormat="1" applyFont="1" applyBorder="1" applyAlignment="1"/>
    <xf numFmtId="187" fontId="5" fillId="0" borderId="8" xfId="0" applyNumberFormat="1" applyFont="1" applyBorder="1" applyAlignment="1">
      <alignment horizontal="center"/>
    </xf>
    <xf numFmtId="187" fontId="2" fillId="0" borderId="7" xfId="0" applyNumberFormat="1" applyFont="1" applyBorder="1" applyAlignment="1"/>
    <xf numFmtId="0" fontId="4" fillId="21" borderId="7" xfId="0" quotePrefix="1" applyFont="1" applyFill="1" applyBorder="1" applyAlignment="1"/>
    <xf numFmtId="0" fontId="2" fillId="21" borderId="7" xfId="0" applyFont="1" applyFill="1" applyBorder="1" applyAlignment="1"/>
    <xf numFmtId="0" fontId="2" fillId="21" borderId="8" xfId="0" applyFont="1" applyFill="1" applyBorder="1" applyAlignment="1"/>
    <xf numFmtId="0" fontId="2" fillId="0" borderId="8" xfId="0" applyFont="1" applyBorder="1" applyAlignment="1"/>
    <xf numFmtId="0" fontId="5" fillId="0" borderId="7" xfId="0" quotePrefix="1" applyFont="1" applyBorder="1" applyAlignment="1"/>
    <xf numFmtId="0" fontId="2" fillId="0" borderId="7" xfId="0" applyFont="1" applyBorder="1" applyAlignment="1"/>
    <xf numFmtId="0" fontId="1" fillId="0" borderId="8" xfId="0" applyFont="1" applyBorder="1" applyAlignment="1">
      <alignment horizontal="center" wrapText="1"/>
    </xf>
    <xf numFmtId="189" fontId="1" fillId="2" borderId="8" xfId="0" applyNumberFormat="1" applyFont="1" applyFill="1" applyBorder="1" applyAlignment="1">
      <alignment horizontal="right"/>
    </xf>
    <xf numFmtId="188" fontId="1" fillId="0" borderId="8" xfId="0" applyNumberFormat="1" applyFont="1" applyBorder="1" applyAlignment="1">
      <alignment horizontal="right"/>
    </xf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189" fontId="5" fillId="0" borderId="8" xfId="0" applyNumberFormat="1" applyFont="1" applyBorder="1" applyAlignment="1">
      <alignment horizontal="right"/>
    </xf>
    <xf numFmtId="188" fontId="5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wrapText="1"/>
    </xf>
    <xf numFmtId="187" fontId="7" fillId="8" borderId="7" xfId="0" applyNumberFormat="1" applyFont="1" applyFill="1" applyBorder="1" applyAlignment="1"/>
    <xf numFmtId="0" fontId="8" fillId="8" borderId="7" xfId="0" applyFont="1" applyFill="1" applyBorder="1" applyAlignment="1"/>
    <xf numFmtId="0" fontId="7" fillId="8" borderId="7" xfId="0" applyFont="1" applyFill="1" applyBorder="1" applyAlignment="1"/>
    <xf numFmtId="0" fontId="7" fillId="8" borderId="8" xfId="0" applyFont="1" applyFill="1" applyBorder="1" applyAlignment="1"/>
    <xf numFmtId="0" fontId="8" fillId="8" borderId="8" xfId="0" applyFont="1" applyFill="1" applyBorder="1" applyAlignment="1">
      <alignment horizontal="center"/>
    </xf>
    <xf numFmtId="189" fontId="8" fillId="8" borderId="8" xfId="0" applyNumberFormat="1" applyFont="1" applyFill="1" applyBorder="1" applyAlignment="1">
      <alignment horizontal="right"/>
    </xf>
    <xf numFmtId="188" fontId="8" fillId="8" borderId="8" xfId="0" applyNumberFormat="1" applyFont="1" applyFill="1" applyBorder="1" applyAlignment="1">
      <alignment horizontal="right"/>
    </xf>
    <xf numFmtId="0" fontId="1" fillId="0" borderId="7" xfId="0" applyFont="1" applyBorder="1" applyAlignment="1"/>
    <xf numFmtId="189" fontId="5" fillId="2" borderId="8" xfId="0" applyNumberFormat="1" applyFont="1" applyFill="1" applyBorder="1" applyAlignment="1">
      <alignment horizontal="right"/>
    </xf>
    <xf numFmtId="0" fontId="9" fillId="8" borderId="7" xfId="0" applyFont="1" applyFill="1" applyBorder="1" applyAlignment="1"/>
    <xf numFmtId="189" fontId="7" fillId="8" borderId="8" xfId="0" applyNumberFormat="1" applyFont="1" applyFill="1" applyBorder="1" applyAlignment="1"/>
    <xf numFmtId="188" fontId="7" fillId="8" borderId="8" xfId="0" applyNumberFormat="1" applyFont="1" applyFill="1" applyBorder="1" applyAlignment="1"/>
    <xf numFmtId="0" fontId="10" fillId="8" borderId="7" xfId="0" applyFont="1" applyFill="1" applyBorder="1" applyAlignment="1"/>
    <xf numFmtId="0" fontId="11" fillId="8" borderId="7" xfId="0" applyFont="1" applyFill="1" applyBorder="1" applyAlignment="1"/>
    <xf numFmtId="0" fontId="9" fillId="8" borderId="8" xfId="0" applyFont="1" applyFill="1" applyBorder="1" applyAlignment="1">
      <alignment horizontal="center"/>
    </xf>
    <xf numFmtId="189" fontId="9" fillId="8" borderId="8" xfId="0" applyNumberFormat="1" applyFont="1" applyFill="1" applyBorder="1" applyAlignment="1">
      <alignment horizontal="right"/>
    </xf>
    <xf numFmtId="188" fontId="9" fillId="8" borderId="8" xfId="0" applyNumberFormat="1" applyFont="1" applyFill="1" applyBorder="1" applyAlignment="1">
      <alignment horizontal="right"/>
    </xf>
    <xf numFmtId="190" fontId="2" fillId="8" borderId="7" xfId="0" applyNumberFormat="1" applyFont="1" applyFill="1" applyBorder="1" applyAlignment="1"/>
    <xf numFmtId="189" fontId="2" fillId="8" borderId="7" xfId="0" applyNumberFormat="1" applyFont="1" applyFill="1" applyBorder="1" applyAlignment="1"/>
    <xf numFmtId="188" fontId="2" fillId="8" borderId="7" xfId="0" applyNumberFormat="1" applyFont="1" applyFill="1" applyBorder="1" applyAlignment="1"/>
    <xf numFmtId="187" fontId="2" fillId="8" borderId="7" xfId="0" applyNumberFormat="1" applyFont="1" applyFill="1" applyBorder="1" applyAlignment="1"/>
    <xf numFmtId="189" fontId="5" fillId="8" borderId="8" xfId="0" applyNumberFormat="1" applyFont="1" applyFill="1" applyBorder="1" applyAlignment="1">
      <alignment horizontal="right"/>
    </xf>
    <xf numFmtId="187" fontId="1" fillId="8" borderId="8" xfId="0" applyNumberFormat="1" applyFont="1" applyFill="1" applyBorder="1" applyAlignment="1">
      <alignment horizontal="center"/>
    </xf>
    <xf numFmtId="187" fontId="8" fillId="8" borderId="8" xfId="0" applyNumberFormat="1" applyFont="1" applyFill="1" applyBorder="1" applyAlignment="1">
      <alignment horizontal="center"/>
    </xf>
    <xf numFmtId="187" fontId="5" fillId="8" borderId="8" xfId="0" applyNumberFormat="1" applyFont="1" applyFill="1" applyBorder="1" applyAlignment="1">
      <alignment horizontal="center"/>
    </xf>
    <xf numFmtId="187" fontId="5" fillId="8" borderId="8" xfId="0" applyNumberFormat="1" applyFont="1" applyFill="1" applyBorder="1" applyAlignment="1">
      <alignment horizontal="center" wrapText="1"/>
    </xf>
    <xf numFmtId="187" fontId="8" fillId="8" borderId="8" xfId="0" applyNumberFormat="1" applyFont="1" applyFill="1" applyBorder="1" applyAlignment="1">
      <alignment horizontal="center" wrapText="1"/>
    </xf>
    <xf numFmtId="190" fontId="2" fillId="20" borderId="7" xfId="0" applyNumberFormat="1" applyFont="1" applyFill="1" applyBorder="1" applyAlignment="1"/>
    <xf numFmtId="189" fontId="2" fillId="20" borderId="7" xfId="0" applyNumberFormat="1" applyFont="1" applyFill="1" applyBorder="1" applyAlignment="1"/>
    <xf numFmtId="188" fontId="2" fillId="20" borderId="7" xfId="0" applyNumberFormat="1" applyFont="1" applyFill="1" applyBorder="1" applyAlignment="1"/>
    <xf numFmtId="190" fontId="2" fillId="10" borderId="7" xfId="0" applyNumberFormat="1" applyFont="1" applyFill="1" applyBorder="1" applyAlignment="1"/>
    <xf numFmtId="190" fontId="1" fillId="10" borderId="7" xfId="0" applyNumberFormat="1" applyFont="1" applyFill="1" applyBorder="1" applyAlignment="1"/>
    <xf numFmtId="187" fontId="2" fillId="0" borderId="8" xfId="0" applyNumberFormat="1" applyFont="1" applyBorder="1" applyAlignment="1"/>
    <xf numFmtId="0" fontId="2" fillId="0" borderId="9" xfId="0" applyFont="1" applyBorder="1" applyAlignment="1"/>
    <xf numFmtId="0" fontId="5" fillId="2" borderId="9" xfId="0" applyFont="1" applyFill="1" applyBorder="1" applyAlignment="1"/>
    <xf numFmtId="187" fontId="5" fillId="0" borderId="10" xfId="0" applyNumberFormat="1" applyFont="1" applyBorder="1" applyAlignment="1">
      <alignment horizontal="center"/>
    </xf>
    <xf numFmtId="189" fontId="5" fillId="2" borderId="10" xfId="0" applyNumberFormat="1" applyFont="1" applyFill="1" applyBorder="1" applyAlignment="1">
      <alignment horizontal="right"/>
    </xf>
    <xf numFmtId="0" fontId="12" fillId="2" borderId="9" xfId="0" applyFont="1" applyFill="1" applyBorder="1" applyAlignment="1"/>
    <xf numFmtId="0" fontId="2" fillId="2" borderId="13" xfId="0" applyFont="1" applyFill="1" applyBorder="1" applyAlignment="1"/>
    <xf numFmtId="0" fontId="5" fillId="2" borderId="13" xfId="0" applyFont="1" applyFill="1" applyBorder="1" applyAlignment="1"/>
    <xf numFmtId="0" fontId="2" fillId="2" borderId="14" xfId="0" applyFont="1" applyFill="1" applyBorder="1" applyAlignment="1"/>
    <xf numFmtId="187" fontId="5" fillId="0" borderId="14" xfId="0" applyNumberFormat="1" applyFont="1" applyBorder="1" applyAlignment="1">
      <alignment horizontal="center"/>
    </xf>
    <xf numFmtId="189" fontId="5" fillId="2" borderId="14" xfId="0" applyNumberFormat="1" applyFont="1" applyFill="1" applyBorder="1" applyAlignment="1">
      <alignment horizontal="right"/>
    </xf>
    <xf numFmtId="188" fontId="2" fillId="2" borderId="14" xfId="0" applyNumberFormat="1" applyFont="1" applyFill="1" applyBorder="1" applyAlignment="1"/>
    <xf numFmtId="0" fontId="2" fillId="20" borderId="9" xfId="0" applyFont="1" applyFill="1" applyBorder="1" applyAlignment="1"/>
    <xf numFmtId="190" fontId="2" fillId="20" borderId="9" xfId="0" applyNumberFormat="1" applyFont="1" applyFill="1" applyBorder="1" applyAlignment="1"/>
    <xf numFmtId="189" fontId="2" fillId="20" borderId="9" xfId="0" applyNumberFormat="1" applyFont="1" applyFill="1" applyBorder="1" applyAlignment="1"/>
    <xf numFmtId="188" fontId="2" fillId="20" borderId="9" xfId="0" applyNumberFormat="1" applyFont="1" applyFill="1" applyBorder="1" applyAlignment="1"/>
    <xf numFmtId="188" fontId="2" fillId="20" borderId="10" xfId="0" applyNumberFormat="1" applyFont="1" applyFill="1" applyBorder="1" applyAlignment="1"/>
    <xf numFmtId="187" fontId="1" fillId="10" borderId="8" xfId="0" applyNumberFormat="1" applyFont="1" applyFill="1" applyBorder="1" applyAlignment="1">
      <alignment horizontal="center"/>
    </xf>
    <xf numFmtId="187" fontId="5" fillId="0" borderId="11" xfId="0" applyNumberFormat="1" applyFont="1" applyBorder="1" applyAlignment="1">
      <alignment horizontal="center"/>
    </xf>
    <xf numFmtId="189" fontId="5" fillId="2" borderId="11" xfId="0" applyNumberFormat="1" applyFont="1" applyFill="1" applyBorder="1" applyAlignment="1">
      <alignment horizontal="right"/>
    </xf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189" fontId="2" fillId="7" borderId="1" xfId="0" applyNumberFormat="1" applyFont="1" applyFill="1" applyBorder="1" applyAlignment="1"/>
    <xf numFmtId="188" fontId="2" fillId="7" borderId="1" xfId="0" applyNumberFormat="1" applyFont="1" applyFill="1" applyBorder="1" applyAlignment="1"/>
    <xf numFmtId="187" fontId="2" fillId="22" borderId="7" xfId="0" applyNumberFormat="1" applyFont="1" applyFill="1" applyBorder="1" applyAlignment="1"/>
    <xf numFmtId="0" fontId="2" fillId="22" borderId="7" xfId="0" applyFont="1" applyFill="1" applyBorder="1" applyAlignment="1"/>
    <xf numFmtId="0" fontId="2" fillId="22" borderId="8" xfId="0" applyFont="1" applyFill="1" applyBorder="1" applyAlignment="1"/>
    <xf numFmtId="189" fontId="2" fillId="22" borderId="8" xfId="0" applyNumberFormat="1" applyFont="1" applyFill="1" applyBorder="1" applyAlignment="1"/>
    <xf numFmtId="188" fontId="2" fillId="22" borderId="8" xfId="0" applyNumberFormat="1" applyFont="1" applyFill="1" applyBorder="1" applyAlignment="1"/>
    <xf numFmtId="0" fontId="1" fillId="21" borderId="7" xfId="0" applyFont="1" applyFill="1" applyBorder="1" applyAlignment="1"/>
    <xf numFmtId="187" fontId="2" fillId="21" borderId="7" xfId="0" applyNumberFormat="1" applyFont="1" applyFill="1" applyBorder="1" applyAlignment="1"/>
    <xf numFmtId="0" fontId="1" fillId="21" borderId="8" xfId="0" applyFont="1" applyFill="1" applyBorder="1" applyAlignment="1">
      <alignment horizontal="center" wrapText="1"/>
    </xf>
    <xf numFmtId="189" fontId="1" fillId="21" borderId="8" xfId="0" applyNumberFormat="1" applyFont="1" applyFill="1" applyBorder="1" applyAlignment="1">
      <alignment horizontal="right"/>
    </xf>
    <xf numFmtId="188" fontId="1" fillId="21" borderId="8" xfId="0" applyNumberFormat="1" applyFont="1" applyFill="1" applyBorder="1" applyAlignment="1">
      <alignment horizontal="right"/>
    </xf>
    <xf numFmtId="188" fontId="2" fillId="21" borderId="8" xfId="0" applyNumberFormat="1" applyFont="1" applyFill="1" applyBorder="1" applyAlignment="1"/>
    <xf numFmtId="187" fontId="5" fillId="2" borderId="7" xfId="0" applyNumberFormat="1" applyFont="1" applyFill="1" applyBorder="1" applyAlignment="1"/>
    <xf numFmtId="0" fontId="5" fillId="2" borderId="8" xfId="0" applyFont="1" applyFill="1" applyBorder="1" applyAlignment="1">
      <alignment horizontal="center" wrapText="1"/>
    </xf>
    <xf numFmtId="187" fontId="2" fillId="2" borderId="7" xfId="0" applyNumberFormat="1" applyFont="1" applyFill="1" applyBorder="1" applyAlignment="1"/>
    <xf numFmtId="187" fontId="2" fillId="23" borderId="7" xfId="0" applyNumberFormat="1" applyFont="1" applyFill="1" applyBorder="1" applyAlignment="1"/>
    <xf numFmtId="0" fontId="1" fillId="23" borderId="7" xfId="0" applyFont="1" applyFill="1" applyBorder="1" applyAlignment="1"/>
    <xf numFmtId="0" fontId="2" fillId="23" borderId="7" xfId="0" applyFont="1" applyFill="1" applyBorder="1" applyAlignment="1"/>
    <xf numFmtId="0" fontId="2" fillId="23" borderId="8" xfId="0" applyFont="1" applyFill="1" applyBorder="1" applyAlignment="1"/>
    <xf numFmtId="0" fontId="1" fillId="23" borderId="8" xfId="0" applyFont="1" applyFill="1" applyBorder="1" applyAlignment="1">
      <alignment horizontal="center" wrapText="1"/>
    </xf>
    <xf numFmtId="189" fontId="1" fillId="23" borderId="8" xfId="0" applyNumberFormat="1" applyFont="1" applyFill="1" applyBorder="1" applyAlignment="1">
      <alignment horizontal="right"/>
    </xf>
    <xf numFmtId="188" fontId="1" fillId="23" borderId="8" xfId="0" applyNumberFormat="1" applyFont="1" applyFill="1" applyBorder="1" applyAlignment="1">
      <alignment horizontal="right"/>
    </xf>
    <xf numFmtId="188" fontId="2" fillId="23" borderId="8" xfId="0" applyNumberFormat="1" applyFont="1" applyFill="1" applyBorder="1" applyAlignment="1"/>
    <xf numFmtId="0" fontId="4" fillId="2" borderId="7" xfId="0" quotePrefix="1" applyFont="1" applyFill="1" applyBorder="1" applyAlignment="1"/>
    <xf numFmtId="187" fontId="1" fillId="0" borderId="8" xfId="0" applyNumberFormat="1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3" borderId="8" xfId="0" applyFont="1" applyFill="1" applyBorder="1" applyAlignment="1">
      <alignment horizontal="center"/>
    </xf>
    <xf numFmtId="0" fontId="13" fillId="2" borderId="9" xfId="0" applyFont="1" applyFill="1" applyBorder="1" applyAlignment="1"/>
    <xf numFmtId="0" fontId="13" fillId="2" borderId="7" xfId="0" applyFont="1" applyFill="1" applyBorder="1" applyAlignment="1"/>
    <xf numFmtId="0" fontId="5" fillId="0" borderId="8" xfId="0" applyFont="1" applyBorder="1" applyAlignment="1"/>
    <xf numFmtId="187" fontId="1" fillId="2" borderId="7" xfId="0" applyNumberFormat="1" applyFont="1" applyFill="1" applyBorder="1" applyAlignment="1"/>
    <xf numFmtId="187" fontId="2" fillId="24" borderId="7" xfId="0" applyNumberFormat="1" applyFont="1" applyFill="1" applyBorder="1" applyAlignment="1"/>
    <xf numFmtId="0" fontId="5" fillId="24" borderId="7" xfId="0" applyFont="1" applyFill="1" applyBorder="1" applyAlignment="1"/>
    <xf numFmtId="0" fontId="2" fillId="24" borderId="7" xfId="0" applyFont="1" applyFill="1" applyBorder="1" applyAlignment="1"/>
    <xf numFmtId="0" fontId="2" fillId="24" borderId="8" xfId="0" applyFont="1" applyFill="1" applyBorder="1" applyAlignment="1"/>
    <xf numFmtId="187" fontId="5" fillId="24" borderId="8" xfId="0" applyNumberFormat="1" applyFont="1" applyFill="1" applyBorder="1" applyAlignment="1">
      <alignment horizontal="center" wrapText="1"/>
    </xf>
    <xf numFmtId="189" fontId="2" fillId="24" borderId="8" xfId="0" applyNumberFormat="1" applyFont="1" applyFill="1" applyBorder="1" applyAlignment="1"/>
    <xf numFmtId="188" fontId="2" fillId="24" borderId="8" xfId="0" applyNumberFormat="1" applyFont="1" applyFill="1" applyBorder="1" applyAlignment="1"/>
    <xf numFmtId="188" fontId="5" fillId="24" borderId="8" xfId="0" applyNumberFormat="1" applyFont="1" applyFill="1" applyBorder="1" applyAlignment="1">
      <alignment horizontal="right"/>
    </xf>
    <xf numFmtId="187" fontId="5" fillId="0" borderId="7" xfId="0" quotePrefix="1" applyNumberFormat="1" applyFont="1" applyBorder="1" applyAlignment="1"/>
    <xf numFmtId="187" fontId="7" fillId="24" borderId="7" xfId="0" applyNumberFormat="1" applyFont="1" applyFill="1" applyBorder="1" applyAlignment="1"/>
    <xf numFmtId="0" fontId="9" fillId="24" borderId="7" xfId="0" applyFont="1" applyFill="1" applyBorder="1" applyAlignment="1"/>
    <xf numFmtId="0" fontId="7" fillId="24" borderId="7" xfId="0" applyFont="1" applyFill="1" applyBorder="1" applyAlignment="1"/>
    <xf numFmtId="0" fontId="7" fillId="24" borderId="8" xfId="0" applyFont="1" applyFill="1" applyBorder="1" applyAlignment="1"/>
    <xf numFmtId="0" fontId="9" fillId="24" borderId="8" xfId="0" applyFont="1" applyFill="1" applyBorder="1" applyAlignment="1">
      <alignment horizontal="center" wrapText="1"/>
    </xf>
    <xf numFmtId="189" fontId="9" fillId="24" borderId="8" xfId="0" applyNumberFormat="1" applyFont="1" applyFill="1" applyBorder="1" applyAlignment="1">
      <alignment horizontal="right"/>
    </xf>
    <xf numFmtId="188" fontId="9" fillId="24" borderId="8" xfId="0" applyNumberFormat="1" applyFont="1" applyFill="1" applyBorder="1" applyAlignment="1">
      <alignment horizontal="right"/>
    </xf>
    <xf numFmtId="0" fontId="14" fillId="24" borderId="7" xfId="0" applyFont="1" applyFill="1" applyBorder="1" applyAlignment="1"/>
    <xf numFmtId="187" fontId="9" fillId="24" borderId="8" xfId="0" applyNumberFormat="1" applyFont="1" applyFill="1" applyBorder="1" applyAlignment="1">
      <alignment horizontal="center" wrapText="1"/>
    </xf>
    <xf numFmtId="189" fontId="7" fillId="24" borderId="8" xfId="0" applyNumberFormat="1" applyFont="1" applyFill="1" applyBorder="1" applyAlignment="1"/>
    <xf numFmtId="188" fontId="7" fillId="24" borderId="8" xfId="0" applyNumberFormat="1" applyFont="1" applyFill="1" applyBorder="1" applyAlignment="1"/>
    <xf numFmtId="188" fontId="1" fillId="24" borderId="8" xfId="0" applyNumberFormat="1" applyFont="1" applyFill="1" applyBorder="1" applyAlignment="1">
      <alignment horizontal="right"/>
    </xf>
    <xf numFmtId="0" fontId="8" fillId="24" borderId="7" xfId="0" applyFont="1" applyFill="1" applyBorder="1" applyAlignment="1"/>
    <xf numFmtId="187" fontId="8" fillId="24" borderId="8" xfId="0" applyNumberFormat="1" applyFont="1" applyFill="1" applyBorder="1" applyAlignment="1">
      <alignment horizontal="center" wrapText="1"/>
    </xf>
    <xf numFmtId="187" fontId="9" fillId="24" borderId="7" xfId="0" applyNumberFormat="1" applyFont="1" applyFill="1" applyBorder="1" applyAlignment="1"/>
    <xf numFmtId="0" fontId="14" fillId="24" borderId="7" xfId="0" quotePrefix="1" applyFont="1" applyFill="1" applyBorder="1" applyAlignment="1"/>
    <xf numFmtId="0" fontId="8" fillId="24" borderId="8" xfId="0" applyFont="1" applyFill="1" applyBorder="1" applyAlignment="1">
      <alignment horizontal="center"/>
    </xf>
    <xf numFmtId="189" fontId="8" fillId="24" borderId="8" xfId="0" applyNumberFormat="1" applyFont="1" applyFill="1" applyBorder="1" applyAlignment="1">
      <alignment horizontal="right"/>
    </xf>
    <xf numFmtId="188" fontId="8" fillId="24" borderId="8" xfId="0" applyNumberFormat="1" applyFont="1" applyFill="1" applyBorder="1" applyAlignment="1">
      <alignment horizontal="right"/>
    </xf>
    <xf numFmtId="187" fontId="8" fillId="24" borderId="7" xfId="0" quotePrefix="1" applyNumberFormat="1" applyFont="1" applyFill="1" applyBorder="1" applyAlignment="1"/>
    <xf numFmtId="0" fontId="8" fillId="24" borderId="7" xfId="0" quotePrefix="1" applyFont="1" applyFill="1" applyBorder="1" applyAlignment="1"/>
    <xf numFmtId="0" fontId="15" fillId="8" borderId="7" xfId="0" applyFont="1" applyFill="1" applyBorder="1" applyAlignment="1"/>
    <xf numFmtId="0" fontId="2" fillId="0" borderId="11" xfId="0" applyFont="1" applyBorder="1" applyAlignment="1"/>
    <xf numFmtId="188" fontId="5" fillId="0" borderId="11" xfId="0" applyNumberFormat="1" applyFont="1" applyBorder="1" applyAlignment="1">
      <alignment horizontal="right"/>
    </xf>
    <xf numFmtId="188" fontId="2" fillId="0" borderId="11" xfId="0" applyNumberFormat="1" applyFont="1" applyBorder="1" applyAlignment="1"/>
    <xf numFmtId="187" fontId="17" fillId="25" borderId="1" xfId="0" applyNumberFormat="1" applyFont="1" applyFill="1" applyBorder="1" applyAlignment="1"/>
    <xf numFmtId="0" fontId="17" fillId="25" borderId="1" xfId="0" applyFont="1" applyFill="1" applyBorder="1" applyAlignment="1"/>
    <xf numFmtId="189" fontId="17" fillId="25" borderId="1" xfId="0" applyNumberFormat="1" applyFont="1" applyFill="1" applyBorder="1" applyAlignment="1"/>
    <xf numFmtId="188" fontId="17" fillId="25" borderId="1" xfId="0" applyNumberFormat="1" applyFont="1" applyFill="1" applyBorder="1" applyAlignment="1"/>
    <xf numFmtId="188" fontId="2" fillId="25" borderId="1" xfId="0" applyNumberFormat="1" applyFont="1" applyFill="1" applyBorder="1" applyAlignment="1"/>
    <xf numFmtId="0" fontId="2" fillId="26" borderId="7" xfId="0" applyFont="1" applyFill="1" applyBorder="1" applyAlignment="1"/>
    <xf numFmtId="187" fontId="2" fillId="26" borderId="7" xfId="0" applyNumberFormat="1" applyFont="1" applyFill="1" applyBorder="1" applyAlignment="1"/>
    <xf numFmtId="189" fontId="2" fillId="26" borderId="7" xfId="0" applyNumberFormat="1" applyFont="1" applyFill="1" applyBorder="1" applyAlignment="1"/>
    <xf numFmtId="189" fontId="2" fillId="26" borderId="8" xfId="0" applyNumberFormat="1" applyFont="1" applyFill="1" applyBorder="1" applyAlignment="1"/>
    <xf numFmtId="188" fontId="2" fillId="26" borderId="8" xfId="0" applyNumberFormat="1" applyFont="1" applyFill="1" applyBorder="1" applyAlignment="1"/>
    <xf numFmtId="0" fontId="1" fillId="27" borderId="7" xfId="0" applyFont="1" applyFill="1" applyBorder="1" applyAlignment="1"/>
    <xf numFmtId="0" fontId="2" fillId="27" borderId="7" xfId="0" applyFont="1" applyFill="1" applyBorder="1" applyAlignment="1"/>
    <xf numFmtId="187" fontId="2" fillId="27" borderId="7" xfId="0" applyNumberFormat="1" applyFont="1" applyFill="1" applyBorder="1" applyAlignment="1"/>
    <xf numFmtId="0" fontId="2" fillId="27" borderId="8" xfId="0" applyFont="1" applyFill="1" applyBorder="1" applyAlignment="1"/>
    <xf numFmtId="0" fontId="1" fillId="27" borderId="8" xfId="0" applyFont="1" applyFill="1" applyBorder="1" applyAlignment="1">
      <alignment horizontal="center" wrapText="1"/>
    </xf>
    <xf numFmtId="189" fontId="1" fillId="27" borderId="8" xfId="0" applyNumberFormat="1" applyFont="1" applyFill="1" applyBorder="1" applyAlignment="1">
      <alignment horizontal="right"/>
    </xf>
    <xf numFmtId="188" fontId="1" fillId="27" borderId="8" xfId="0" applyNumberFormat="1" applyFont="1" applyFill="1" applyBorder="1" applyAlignment="1">
      <alignment horizontal="right"/>
    </xf>
    <xf numFmtId="188" fontId="2" fillId="27" borderId="8" xfId="0" applyNumberFormat="1" applyFont="1" applyFill="1" applyBorder="1" applyAlignment="1"/>
    <xf numFmtId="0" fontId="2" fillId="8" borderId="11" xfId="0" applyFont="1" applyFill="1" applyBorder="1" applyAlignment="1"/>
    <xf numFmtId="0" fontId="5" fillId="8" borderId="11" xfId="0" applyFont="1" applyFill="1" applyBorder="1" applyAlignment="1">
      <alignment horizontal="center"/>
    </xf>
    <xf numFmtId="189" fontId="5" fillId="8" borderId="11" xfId="0" applyNumberFormat="1" applyFont="1" applyFill="1" applyBorder="1" applyAlignment="1">
      <alignment horizontal="right"/>
    </xf>
    <xf numFmtId="188" fontId="5" fillId="8" borderId="11" xfId="0" applyNumberFormat="1" applyFont="1" applyFill="1" applyBorder="1" applyAlignment="1">
      <alignment horizontal="right"/>
    </xf>
    <xf numFmtId="188" fontId="2" fillId="8" borderId="11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189" fontId="2" fillId="28" borderId="1" xfId="0" applyNumberFormat="1" applyFont="1" applyFill="1" applyBorder="1" applyAlignment="1"/>
    <xf numFmtId="188" fontId="2" fillId="28" borderId="1" xfId="0" applyNumberFormat="1" applyFont="1" applyFill="1" applyBorder="1" applyAlignment="1"/>
    <xf numFmtId="187" fontId="2" fillId="29" borderId="7" xfId="0" applyNumberFormat="1" applyFont="1" applyFill="1" applyBorder="1" applyAlignment="1"/>
    <xf numFmtId="0" fontId="2" fillId="29" borderId="7" xfId="0" applyFont="1" applyFill="1" applyBorder="1" applyAlignment="1"/>
    <xf numFmtId="0" fontId="2" fillId="29" borderId="8" xfId="0" applyFont="1" applyFill="1" applyBorder="1" applyAlignment="1"/>
    <xf numFmtId="189" fontId="2" fillId="29" borderId="8" xfId="0" applyNumberFormat="1" applyFont="1" applyFill="1" applyBorder="1" applyAlignment="1"/>
    <xf numFmtId="188" fontId="2" fillId="29" borderId="8" xfId="0" applyNumberFormat="1" applyFont="1" applyFill="1" applyBorder="1" applyAlignment="1"/>
    <xf numFmtId="0" fontId="1" fillId="30" borderId="7" xfId="0" applyFont="1" applyFill="1" applyBorder="1" applyAlignment="1"/>
    <xf numFmtId="0" fontId="2" fillId="30" borderId="7" xfId="0" applyFont="1" applyFill="1" applyBorder="1" applyAlignment="1"/>
    <xf numFmtId="0" fontId="2" fillId="30" borderId="8" xfId="0" applyFont="1" applyFill="1" applyBorder="1" applyAlignment="1"/>
    <xf numFmtId="0" fontId="1" fillId="30" borderId="8" xfId="0" applyFont="1" applyFill="1" applyBorder="1" applyAlignment="1">
      <alignment horizontal="center" wrapText="1"/>
    </xf>
    <xf numFmtId="189" fontId="1" fillId="30" borderId="8" xfId="0" applyNumberFormat="1" applyFont="1" applyFill="1" applyBorder="1" applyAlignment="1">
      <alignment horizontal="right"/>
    </xf>
    <xf numFmtId="188" fontId="1" fillId="30" borderId="8" xfId="0" applyNumberFormat="1" applyFont="1" applyFill="1" applyBorder="1" applyAlignment="1">
      <alignment horizontal="right"/>
    </xf>
    <xf numFmtId="188" fontId="2" fillId="30" borderId="8" xfId="0" applyNumberFormat="1" applyFont="1" applyFill="1" applyBorder="1" applyAlignment="1"/>
    <xf numFmtId="190" fontId="2" fillId="30" borderId="7" xfId="0" applyNumberFormat="1" applyFont="1" applyFill="1" applyBorder="1" applyAlignment="1"/>
    <xf numFmtId="187" fontId="2" fillId="30" borderId="7" xfId="0" applyNumberFormat="1" applyFont="1" applyFill="1" applyBorder="1" applyAlignment="1"/>
    <xf numFmtId="189" fontId="18" fillId="30" borderId="15" xfId="0" applyNumberFormat="1" applyFont="1" applyFill="1" applyBorder="1" applyAlignment="1">
      <alignment horizontal="right"/>
    </xf>
    <xf numFmtId="189" fontId="18" fillId="30" borderId="10" xfId="0" applyNumberFormat="1" applyFont="1" applyFill="1" applyBorder="1" applyAlignment="1">
      <alignment horizontal="right"/>
    </xf>
    <xf numFmtId="188" fontId="18" fillId="30" borderId="10" xfId="0" applyNumberFormat="1" applyFont="1" applyFill="1" applyBorder="1" applyAlignment="1">
      <alignment horizontal="right"/>
    </xf>
    <xf numFmtId="0" fontId="2" fillId="2" borderId="12" xfId="0" applyFont="1" applyFill="1" applyBorder="1" applyAlignment="1"/>
    <xf numFmtId="189" fontId="2" fillId="2" borderId="12" xfId="0" applyNumberFormat="1" applyFont="1" applyFill="1" applyBorder="1" applyAlignment="1"/>
    <xf numFmtId="188" fontId="2" fillId="2" borderId="12" xfId="0" applyNumberFormat="1" applyFont="1" applyFill="1" applyBorder="1" applyAlignment="1"/>
    <xf numFmtId="0" fontId="19" fillId="23" borderId="9" xfId="0" applyFont="1" applyFill="1" applyBorder="1" applyAlignment="1"/>
    <xf numFmtId="187" fontId="19" fillId="23" borderId="9" xfId="0" applyNumberFormat="1" applyFont="1" applyFill="1" applyBorder="1" applyAlignment="1"/>
    <xf numFmtId="187" fontId="20" fillId="23" borderId="9" xfId="0" applyNumberFormat="1" applyFont="1" applyFill="1" applyBorder="1" applyAlignment="1"/>
    <xf numFmtId="0" fontId="19" fillId="23" borderId="10" xfId="0" applyFont="1" applyFill="1" applyBorder="1" applyAlignment="1"/>
    <xf numFmtId="0" fontId="18" fillId="23" borderId="10" xfId="0" applyFont="1" applyFill="1" applyBorder="1" applyAlignment="1">
      <alignment horizontal="center" wrapText="1"/>
    </xf>
    <xf numFmtId="189" fontId="18" fillId="23" borderId="10" xfId="0" applyNumberFormat="1" applyFont="1" applyFill="1" applyBorder="1" applyAlignment="1">
      <alignment horizontal="right"/>
    </xf>
    <xf numFmtId="188" fontId="18" fillId="23" borderId="10" xfId="0" applyNumberFormat="1" applyFont="1" applyFill="1" applyBorder="1" applyAlignment="1">
      <alignment horizontal="right"/>
    </xf>
    <xf numFmtId="188" fontId="2" fillId="23" borderId="10" xfId="0" applyNumberFormat="1" applyFont="1" applyFill="1" applyBorder="1" applyAlignment="1"/>
    <xf numFmtId="0" fontId="19" fillId="2" borderId="7" xfId="0" applyFont="1" applyFill="1" applyBorder="1" applyAlignment="1"/>
    <xf numFmtId="187" fontId="19" fillId="2" borderId="7" xfId="0" applyNumberFormat="1" applyFont="1" applyFill="1" applyBorder="1" applyAlignment="1"/>
    <xf numFmtId="0" fontId="19" fillId="0" borderId="7" xfId="0" applyFont="1" applyBorder="1" applyAlignment="1"/>
    <xf numFmtId="0" fontId="13" fillId="0" borderId="7" xfId="0" applyFont="1" applyBorder="1" applyAlignment="1"/>
    <xf numFmtId="0" fontId="19" fillId="2" borderId="8" xfId="0" applyFont="1" applyFill="1" applyBorder="1" applyAlignment="1"/>
    <xf numFmtId="0" fontId="13" fillId="2" borderId="8" xfId="0" applyFont="1" applyFill="1" applyBorder="1" applyAlignment="1">
      <alignment horizontal="center" wrapText="1"/>
    </xf>
    <xf numFmtId="189" fontId="13" fillId="2" borderId="8" xfId="0" applyNumberFormat="1" applyFont="1" applyFill="1" applyBorder="1" applyAlignment="1">
      <alignment horizontal="right"/>
    </xf>
    <xf numFmtId="188" fontId="13" fillId="2" borderId="8" xfId="0" applyNumberFormat="1" applyFont="1" applyFill="1" applyBorder="1" applyAlignment="1">
      <alignment horizontal="right"/>
    </xf>
    <xf numFmtId="187" fontId="19" fillId="2" borderId="8" xfId="0" applyNumberFormat="1" applyFont="1" applyFill="1" applyBorder="1" applyAlignment="1"/>
    <xf numFmtId="189" fontId="19" fillId="2" borderId="8" xfId="0" applyNumberFormat="1" applyFont="1" applyFill="1" applyBorder="1" applyAlignment="1"/>
    <xf numFmtId="188" fontId="19" fillId="2" borderId="8" xfId="0" applyNumberFormat="1" applyFont="1" applyFill="1" applyBorder="1" applyAlignment="1"/>
    <xf numFmtId="187" fontId="13" fillId="2" borderId="8" xfId="0" applyNumberFormat="1" applyFont="1" applyFill="1" applyBorder="1" applyAlignment="1">
      <alignment horizontal="center" wrapText="1"/>
    </xf>
    <xf numFmtId="187" fontId="19" fillId="0" borderId="7" xfId="0" applyNumberFormat="1" applyFont="1" applyBorder="1" applyAlignment="1"/>
    <xf numFmtId="187" fontId="21" fillId="2" borderId="7" xfId="0" applyNumberFormat="1" applyFont="1" applyFill="1" applyBorder="1" applyAlignment="1"/>
    <xf numFmtId="0" fontId="19" fillId="23" borderId="7" xfId="0" applyFont="1" applyFill="1" applyBorder="1" applyAlignment="1"/>
    <xf numFmtId="187" fontId="19" fillId="23" borderId="7" xfId="0" applyNumberFormat="1" applyFont="1" applyFill="1" applyBorder="1" applyAlignment="1"/>
    <xf numFmtId="0" fontId="20" fillId="23" borderId="7" xfId="0" applyFont="1" applyFill="1" applyBorder="1" applyAlignment="1"/>
    <xf numFmtId="0" fontId="19" fillId="23" borderId="8" xfId="0" applyFont="1" applyFill="1" applyBorder="1" applyAlignment="1"/>
    <xf numFmtId="0" fontId="18" fillId="23" borderId="8" xfId="0" applyFont="1" applyFill="1" applyBorder="1" applyAlignment="1">
      <alignment horizontal="center" wrapText="1"/>
    </xf>
    <xf numFmtId="189" fontId="18" fillId="23" borderId="8" xfId="0" applyNumberFormat="1" applyFont="1" applyFill="1" applyBorder="1" applyAlignment="1">
      <alignment horizontal="right"/>
    </xf>
    <xf numFmtId="188" fontId="18" fillId="23" borderId="8" xfId="0" applyNumberFormat="1" applyFont="1" applyFill="1" applyBorder="1" applyAlignment="1">
      <alignment horizontal="right"/>
    </xf>
    <xf numFmtId="187" fontId="13" fillId="2" borderId="8" xfId="0" applyNumberFormat="1" applyFont="1" applyFill="1" applyBorder="1" applyAlignment="1">
      <alignment horizontal="center"/>
    </xf>
    <xf numFmtId="189" fontId="2" fillId="30" borderId="8" xfId="0" applyNumberFormat="1" applyFont="1" applyFill="1" applyBorder="1" applyAlignment="1"/>
    <xf numFmtId="0" fontId="4" fillId="23" borderId="7" xfId="0" applyFont="1" applyFill="1" applyBorder="1" applyAlignment="1"/>
    <xf numFmtId="189" fontId="1" fillId="23" borderId="8" xfId="0" applyNumberFormat="1" applyFont="1" applyFill="1" applyBorder="1" applyAlignment="1"/>
    <xf numFmtId="188" fontId="1" fillId="23" borderId="8" xfId="0" applyNumberFormat="1" applyFont="1" applyFill="1" applyBorder="1" applyAlignment="1"/>
    <xf numFmtId="191" fontId="5" fillId="2" borderId="8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191" fontId="5" fillId="2" borderId="11" xfId="0" applyNumberFormat="1" applyFont="1" applyFill="1" applyBorder="1" applyAlignment="1">
      <alignment horizontal="right"/>
    </xf>
    <xf numFmtId="0" fontId="1" fillId="2" borderId="16" xfId="0" applyFont="1" applyFill="1" applyBorder="1" applyAlignment="1"/>
    <xf numFmtId="187" fontId="2" fillId="2" borderId="16" xfId="0" applyNumberFormat="1" applyFont="1" applyFill="1" applyBorder="1" applyAlignment="1"/>
    <xf numFmtId="187" fontId="24" fillId="2" borderId="16" xfId="0" applyNumberFormat="1" applyFont="1" applyFill="1" applyBorder="1" applyAlignment="1"/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189" fontId="2" fillId="2" borderId="18" xfId="0" applyNumberFormat="1" applyFont="1" applyFill="1" applyBorder="1" applyAlignment="1"/>
    <xf numFmtId="188" fontId="2" fillId="2" borderId="18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189" fontId="2" fillId="31" borderId="1" xfId="0" applyNumberFormat="1" applyFont="1" applyFill="1" applyBorder="1" applyAlignment="1"/>
    <xf numFmtId="188" fontId="2" fillId="31" borderId="1" xfId="0" applyNumberFormat="1" applyFont="1" applyFill="1" applyBorder="1" applyAlignment="1"/>
    <xf numFmtId="187" fontId="2" fillId="32" borderId="7" xfId="0" applyNumberFormat="1" applyFont="1" applyFill="1" applyBorder="1" applyAlignment="1"/>
    <xf numFmtId="0" fontId="2" fillId="32" borderId="7" xfId="0" applyFont="1" applyFill="1" applyBorder="1" applyAlignment="1"/>
    <xf numFmtId="0" fontId="2" fillId="32" borderId="8" xfId="0" applyFont="1" applyFill="1" applyBorder="1" applyAlignment="1"/>
    <xf numFmtId="189" fontId="2" fillId="32" borderId="8" xfId="0" applyNumberFormat="1" applyFont="1" applyFill="1" applyBorder="1" applyAlignment="1"/>
    <xf numFmtId="188" fontId="2" fillId="32" borderId="8" xfId="0" applyNumberFormat="1" applyFont="1" applyFill="1" applyBorder="1" applyAlignment="1"/>
    <xf numFmtId="0" fontId="1" fillId="33" borderId="7" xfId="0" applyFont="1" applyFill="1" applyBorder="1" applyAlignment="1"/>
    <xf numFmtId="187" fontId="2" fillId="33" borderId="7" xfId="0" applyNumberFormat="1" applyFont="1" applyFill="1" applyBorder="1" applyAlignment="1"/>
    <xf numFmtId="0" fontId="2" fillId="33" borderId="7" xfId="0" applyFont="1" applyFill="1" applyBorder="1" applyAlignment="1"/>
    <xf numFmtId="0" fontId="2" fillId="33" borderId="8" xfId="0" applyFont="1" applyFill="1" applyBorder="1" applyAlignment="1"/>
    <xf numFmtId="0" fontId="1" fillId="33" borderId="8" xfId="0" applyFont="1" applyFill="1" applyBorder="1" applyAlignment="1">
      <alignment horizontal="center" wrapText="1"/>
    </xf>
    <xf numFmtId="189" fontId="1" fillId="33" borderId="8" xfId="0" applyNumberFormat="1" applyFont="1" applyFill="1" applyBorder="1" applyAlignment="1">
      <alignment horizontal="right"/>
    </xf>
    <xf numFmtId="188" fontId="1" fillId="33" borderId="8" xfId="0" applyNumberFormat="1" applyFont="1" applyFill="1" applyBorder="1" applyAlignment="1">
      <alignment horizontal="right"/>
    </xf>
    <xf numFmtId="188" fontId="2" fillId="33" borderId="8" xfId="0" applyNumberFormat="1" applyFont="1" applyFill="1" applyBorder="1" applyAlignment="1"/>
    <xf numFmtId="0" fontId="2" fillId="0" borderId="0" xfId="0" applyFont="1"/>
    <xf numFmtId="0" fontId="24" fillId="0" borderId="0" xfId="0" applyFont="1" applyAlignment="1"/>
    <xf numFmtId="0" fontId="24" fillId="0" borderId="0" xfId="0" applyFont="1"/>
    <xf numFmtId="188" fontId="1" fillId="4" borderId="6" xfId="0" applyNumberFormat="1" applyFont="1" applyFill="1" applyBorder="1" applyAlignment="1">
      <alignment horizontal="center" vertical="center"/>
    </xf>
    <xf numFmtId="187" fontId="1" fillId="4" borderId="6" xfId="0" applyNumberFormat="1" applyFont="1" applyFill="1" applyBorder="1" applyAlignment="1">
      <alignment horizontal="center" vertical="center" wrapText="1"/>
    </xf>
    <xf numFmtId="188" fontId="1" fillId="5" borderId="6" xfId="0" applyNumberFormat="1" applyFont="1" applyFill="1" applyBorder="1" applyAlignment="1">
      <alignment horizontal="center" vertical="center" wrapText="1"/>
    </xf>
    <xf numFmtId="188" fontId="1" fillId="7" borderId="6" xfId="0" applyNumberFormat="1" applyFont="1" applyFill="1" applyBorder="1" applyAlignment="1">
      <alignment horizontal="center" vertical="center" wrapText="1"/>
    </xf>
    <xf numFmtId="188" fontId="1" fillId="6" borderId="6" xfId="0" applyNumberFormat="1" applyFont="1" applyFill="1" applyBorder="1" applyAlignment="1">
      <alignment horizontal="center" vertical="center"/>
    </xf>
    <xf numFmtId="189" fontId="5" fillId="34" borderId="8" xfId="0" applyNumberFormat="1" applyFont="1" applyFill="1" applyBorder="1" applyAlignment="1">
      <alignment horizontal="right"/>
    </xf>
    <xf numFmtId="189" fontId="5" fillId="34" borderId="10" xfId="0" applyNumberFormat="1" applyFont="1" applyFill="1" applyBorder="1" applyAlignment="1">
      <alignment horizontal="right"/>
    </xf>
    <xf numFmtId="189" fontId="5" fillId="34" borderId="14" xfId="0" applyNumberFormat="1" applyFont="1" applyFill="1" applyBorder="1" applyAlignment="1">
      <alignment horizontal="right"/>
    </xf>
    <xf numFmtId="189" fontId="5" fillId="34" borderId="11" xfId="0" applyNumberFormat="1" applyFont="1" applyFill="1" applyBorder="1" applyAlignment="1">
      <alignment horizontal="right"/>
    </xf>
    <xf numFmtId="189" fontId="7" fillId="35" borderId="8" xfId="0" applyNumberFormat="1" applyFont="1" applyFill="1" applyBorder="1" applyAlignment="1"/>
    <xf numFmtId="189" fontId="8" fillId="35" borderId="8" xfId="0" applyNumberFormat="1" applyFont="1" applyFill="1" applyBorder="1" applyAlignment="1">
      <alignment horizontal="right"/>
    </xf>
    <xf numFmtId="188" fontId="1" fillId="7" borderId="28" xfId="0" applyNumberFormat="1" applyFont="1" applyFill="1" applyBorder="1" applyAlignment="1">
      <alignment horizontal="center" wrapText="1"/>
    </xf>
    <xf numFmtId="188" fontId="2" fillId="8" borderId="28" xfId="0" applyNumberFormat="1" applyFont="1" applyFill="1" applyBorder="1" applyAlignment="1"/>
    <xf numFmtId="0" fontId="2" fillId="8" borderId="30" xfId="0" applyFont="1" applyFill="1" applyBorder="1" applyAlignment="1"/>
    <xf numFmtId="188" fontId="1" fillId="8" borderId="31" xfId="0" applyNumberFormat="1" applyFont="1" applyFill="1" applyBorder="1" applyAlignment="1">
      <alignment horizontal="right"/>
    </xf>
    <xf numFmtId="188" fontId="5" fillId="8" borderId="31" xfId="0" applyNumberFormat="1" applyFont="1" applyFill="1" applyBorder="1" applyAlignment="1">
      <alignment horizontal="right"/>
    </xf>
    <xf numFmtId="0" fontId="2" fillId="8" borderId="27" xfId="0" applyFont="1" applyFill="1" applyBorder="1" applyAlignment="1"/>
    <xf numFmtId="188" fontId="5" fillId="8" borderId="32" xfId="0" applyNumberFormat="1" applyFont="1" applyFill="1" applyBorder="1" applyAlignment="1">
      <alignment horizontal="right"/>
    </xf>
    <xf numFmtId="188" fontId="2" fillId="9" borderId="32" xfId="0" applyNumberFormat="1" applyFont="1" applyFill="1" applyBorder="1" applyAlignment="1"/>
    <xf numFmtId="0" fontId="2" fillId="10" borderId="30" xfId="0" applyFont="1" applyFill="1" applyBorder="1" applyAlignment="1"/>
    <xf numFmtId="188" fontId="1" fillId="10" borderId="31" xfId="0" applyNumberFormat="1" applyFont="1" applyFill="1" applyBorder="1" applyAlignment="1">
      <alignment horizontal="right"/>
    </xf>
    <xf numFmtId="188" fontId="5" fillId="10" borderId="31" xfId="0" applyNumberFormat="1" applyFont="1" applyFill="1" applyBorder="1" applyAlignment="1">
      <alignment horizontal="right"/>
    </xf>
    <xf numFmtId="0" fontId="2" fillId="2" borderId="30" xfId="0" applyFont="1" applyFill="1" applyBorder="1" applyAlignment="1"/>
    <xf numFmtId="188" fontId="5" fillId="2" borderId="31" xfId="0" applyNumberFormat="1" applyFont="1" applyFill="1" applyBorder="1" applyAlignment="1">
      <alignment horizontal="right"/>
    </xf>
    <xf numFmtId="0" fontId="2" fillId="2" borderId="33" xfId="0" applyFont="1" applyFill="1" applyBorder="1" applyAlignment="1"/>
    <xf numFmtId="188" fontId="5" fillId="2" borderId="34" xfId="0" applyNumberFormat="1" applyFont="1" applyFill="1" applyBorder="1" applyAlignment="1">
      <alignment horizontal="right"/>
    </xf>
    <xf numFmtId="0" fontId="2" fillId="2" borderId="27" xfId="0" applyFont="1" applyFill="1" applyBorder="1" applyAlignment="1"/>
    <xf numFmtId="188" fontId="5" fillId="2" borderId="32" xfId="0" applyNumberFormat="1" applyFont="1" applyFill="1" applyBorder="1" applyAlignment="1">
      <alignment horizontal="right"/>
    </xf>
    <xf numFmtId="188" fontId="2" fillId="8" borderId="32" xfId="0" applyNumberFormat="1" applyFont="1" applyFill="1" applyBorder="1" applyAlignment="1"/>
    <xf numFmtId="0" fontId="1" fillId="11" borderId="35" xfId="0" applyFont="1" applyFill="1" applyBorder="1" applyAlignment="1"/>
    <xf numFmtId="0" fontId="2" fillId="11" borderId="0" xfId="0" applyFont="1" applyFill="1" applyBorder="1" applyAlignment="1"/>
    <xf numFmtId="188" fontId="1" fillId="11" borderId="36" xfId="0" applyNumberFormat="1" applyFont="1" applyFill="1" applyBorder="1" applyAlignment="1">
      <alignment horizontal="right"/>
    </xf>
    <xf numFmtId="0" fontId="1" fillId="12" borderId="29" xfId="0" applyFont="1" applyFill="1" applyBorder="1" applyAlignment="1"/>
    <xf numFmtId="188" fontId="2" fillId="12" borderId="37" xfId="0" applyNumberFormat="1" applyFont="1" applyFill="1" applyBorder="1" applyAlignment="1"/>
    <xf numFmtId="0" fontId="2" fillId="13" borderId="30" xfId="0" applyFont="1" applyFill="1" applyBorder="1" applyAlignment="1"/>
    <xf numFmtId="188" fontId="2" fillId="13" borderId="38" xfId="0" applyNumberFormat="1" applyFont="1" applyFill="1" applyBorder="1" applyAlignment="1"/>
    <xf numFmtId="0" fontId="2" fillId="14" borderId="30" xfId="0" applyFont="1" applyFill="1" applyBorder="1" applyAlignment="1"/>
    <xf numFmtId="188" fontId="1" fillId="14" borderId="31" xfId="0" applyNumberFormat="1" applyFont="1" applyFill="1" applyBorder="1" applyAlignment="1">
      <alignment horizontal="right"/>
    </xf>
    <xf numFmtId="188" fontId="5" fillId="14" borderId="31" xfId="0" applyNumberFormat="1" applyFont="1" applyFill="1" applyBorder="1" applyAlignment="1">
      <alignment horizontal="right"/>
    </xf>
    <xf numFmtId="188" fontId="2" fillId="15" borderId="37" xfId="0" applyNumberFormat="1" applyFont="1" applyFill="1" applyBorder="1" applyAlignment="1"/>
    <xf numFmtId="0" fontId="2" fillId="16" borderId="30" xfId="0" applyFont="1" applyFill="1" applyBorder="1" applyAlignment="1"/>
    <xf numFmtId="188" fontId="2" fillId="16" borderId="31" xfId="0" applyNumberFormat="1" applyFont="1" applyFill="1" applyBorder="1" applyAlignment="1"/>
    <xf numFmtId="0" fontId="2" fillId="17" borderId="30" xfId="0" applyFont="1" applyFill="1" applyBorder="1" applyAlignment="1"/>
    <xf numFmtId="188" fontId="2" fillId="17" borderId="31" xfId="0" applyNumberFormat="1" applyFont="1" applyFill="1" applyBorder="1" applyAlignment="1"/>
    <xf numFmtId="0" fontId="2" fillId="18" borderId="30" xfId="0" applyFont="1" applyFill="1" applyBorder="1" applyAlignment="1"/>
    <xf numFmtId="188" fontId="1" fillId="18" borderId="31" xfId="0" applyNumberFormat="1" applyFont="1" applyFill="1" applyBorder="1" applyAlignment="1">
      <alignment horizontal="right"/>
    </xf>
    <xf numFmtId="188" fontId="5" fillId="18" borderId="31" xfId="0" applyNumberFormat="1" applyFont="1" applyFill="1" applyBorder="1" applyAlignment="1">
      <alignment horizontal="right"/>
    </xf>
    <xf numFmtId="0" fontId="2" fillId="2" borderId="35" xfId="0" applyFont="1" applyFill="1" applyBorder="1" applyAlignment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188" fontId="5" fillId="2" borderId="36" xfId="0" applyNumberFormat="1" applyFont="1" applyFill="1" applyBorder="1" applyAlignment="1">
      <alignment horizontal="right"/>
    </xf>
    <xf numFmtId="187" fontId="1" fillId="19" borderId="29" xfId="0" applyNumberFormat="1" applyFont="1" applyFill="1" applyBorder="1" applyAlignment="1"/>
    <xf numFmtId="188" fontId="2" fillId="19" borderId="37" xfId="0" applyNumberFormat="1" applyFont="1" applyFill="1" applyBorder="1" applyAlignment="1"/>
    <xf numFmtId="187" fontId="1" fillId="20" borderId="30" xfId="0" applyNumberFormat="1" applyFont="1" applyFill="1" applyBorder="1" applyAlignment="1"/>
    <xf numFmtId="188" fontId="2" fillId="20" borderId="31" xfId="0" applyNumberFormat="1" applyFont="1" applyFill="1" applyBorder="1" applyAlignment="1"/>
    <xf numFmtId="190" fontId="2" fillId="10" borderId="30" xfId="0" applyNumberFormat="1" applyFont="1" applyFill="1" applyBorder="1" applyAlignment="1"/>
    <xf numFmtId="188" fontId="2" fillId="10" borderId="31" xfId="0" applyNumberFormat="1" applyFont="1" applyFill="1" applyBorder="1" applyAlignment="1"/>
    <xf numFmtId="190" fontId="2" fillId="2" borderId="30" xfId="0" applyNumberFormat="1" applyFont="1" applyFill="1" applyBorder="1" applyAlignment="1"/>
    <xf numFmtId="188" fontId="1" fillId="2" borderId="31" xfId="0" applyNumberFormat="1" applyFont="1" applyFill="1" applyBorder="1" applyAlignment="1">
      <alignment horizontal="right"/>
    </xf>
    <xf numFmtId="187" fontId="2" fillId="0" borderId="30" xfId="0" applyNumberFormat="1" applyFont="1" applyBorder="1" applyAlignment="1"/>
    <xf numFmtId="188" fontId="2" fillId="0" borderId="31" xfId="0" applyNumberFormat="1" applyFont="1" applyBorder="1" applyAlignment="1"/>
    <xf numFmtId="187" fontId="7" fillId="8" borderId="30" xfId="0" applyNumberFormat="1" applyFont="1" applyFill="1" applyBorder="1" applyAlignment="1"/>
    <xf numFmtId="188" fontId="2" fillId="8" borderId="31" xfId="0" applyNumberFormat="1" applyFont="1" applyFill="1" applyBorder="1" applyAlignment="1"/>
    <xf numFmtId="0" fontId="2" fillId="0" borderId="0" xfId="0" applyFont="1" applyBorder="1" applyAlignment="1"/>
    <xf numFmtId="187" fontId="1" fillId="8" borderId="30" xfId="0" applyNumberFormat="1" applyFont="1" applyFill="1" applyBorder="1" applyAlignment="1"/>
    <xf numFmtId="190" fontId="2" fillId="8" borderId="30" xfId="0" applyNumberFormat="1" applyFont="1" applyFill="1" applyBorder="1" applyAlignment="1"/>
    <xf numFmtId="190" fontId="7" fillId="8" borderId="30" xfId="0" applyNumberFormat="1" applyFont="1" applyFill="1" applyBorder="1" applyAlignment="1"/>
    <xf numFmtId="188" fontId="2" fillId="2" borderId="31" xfId="0" applyNumberFormat="1" applyFont="1" applyFill="1" applyBorder="1" applyAlignment="1"/>
    <xf numFmtId="190" fontId="2" fillId="2" borderId="33" xfId="0" applyNumberFormat="1" applyFont="1" applyFill="1" applyBorder="1" applyAlignment="1"/>
    <xf numFmtId="188" fontId="2" fillId="2" borderId="34" xfId="0" applyNumberFormat="1" applyFont="1" applyFill="1" applyBorder="1" applyAlignment="1"/>
    <xf numFmtId="190" fontId="2" fillId="2" borderId="39" xfId="0" applyNumberFormat="1" applyFont="1" applyFill="1" applyBorder="1" applyAlignment="1"/>
    <xf numFmtId="188" fontId="2" fillId="2" borderId="40" xfId="0" applyNumberFormat="1" applyFont="1" applyFill="1" applyBorder="1" applyAlignment="1"/>
    <xf numFmtId="187" fontId="1" fillId="20" borderId="33" xfId="0" applyNumberFormat="1" applyFont="1" applyFill="1" applyBorder="1" applyAlignment="1"/>
    <xf numFmtId="188" fontId="2" fillId="20" borderId="34" xfId="0" applyNumberFormat="1" applyFont="1" applyFill="1" applyBorder="1" applyAlignment="1"/>
    <xf numFmtId="190" fontId="2" fillId="2" borderId="35" xfId="0" applyNumberFormat="1" applyFont="1" applyFill="1" applyBorder="1" applyAlignment="1"/>
    <xf numFmtId="188" fontId="2" fillId="2" borderId="36" xfId="0" applyNumberFormat="1" applyFont="1" applyFill="1" applyBorder="1" applyAlignment="1"/>
    <xf numFmtId="187" fontId="1" fillId="7" borderId="29" xfId="0" applyNumberFormat="1" applyFont="1" applyFill="1" applyBorder="1" applyAlignment="1"/>
    <xf numFmtId="188" fontId="2" fillId="7" borderId="37" xfId="0" applyNumberFormat="1" applyFont="1" applyFill="1" applyBorder="1" applyAlignment="1"/>
    <xf numFmtId="187" fontId="1" fillId="22" borderId="30" xfId="0" applyNumberFormat="1" applyFont="1" applyFill="1" applyBorder="1" applyAlignment="1"/>
    <xf numFmtId="188" fontId="2" fillId="22" borderId="31" xfId="0" applyNumberFormat="1" applyFont="1" applyFill="1" applyBorder="1" applyAlignment="1"/>
    <xf numFmtId="187" fontId="2" fillId="21" borderId="30" xfId="0" applyNumberFormat="1" applyFont="1" applyFill="1" applyBorder="1" applyAlignment="1"/>
    <xf numFmtId="188" fontId="2" fillId="21" borderId="31" xfId="0" applyNumberFormat="1" applyFont="1" applyFill="1" applyBorder="1" applyAlignment="1"/>
    <xf numFmtId="187" fontId="2" fillId="2" borderId="30" xfId="0" applyNumberFormat="1" applyFont="1" applyFill="1" applyBorder="1" applyAlignment="1"/>
    <xf numFmtId="187" fontId="2" fillId="23" borderId="30" xfId="0" applyNumberFormat="1" applyFont="1" applyFill="1" applyBorder="1" applyAlignment="1"/>
    <xf numFmtId="188" fontId="2" fillId="23" borderId="31" xfId="0" applyNumberFormat="1" applyFont="1" applyFill="1" applyBorder="1" applyAlignment="1"/>
    <xf numFmtId="187" fontId="2" fillId="24" borderId="30" xfId="0" applyNumberFormat="1" applyFont="1" applyFill="1" applyBorder="1" applyAlignment="1"/>
    <xf numFmtId="188" fontId="2" fillId="24" borderId="31" xfId="0" applyNumberFormat="1" applyFont="1" applyFill="1" applyBorder="1" applyAlignment="1"/>
    <xf numFmtId="187" fontId="7" fillId="24" borderId="30" xfId="0" applyNumberFormat="1" applyFont="1" applyFill="1" applyBorder="1" applyAlignment="1"/>
    <xf numFmtId="190" fontId="7" fillId="24" borderId="30" xfId="0" applyNumberFormat="1" applyFont="1" applyFill="1" applyBorder="1" applyAlignment="1"/>
    <xf numFmtId="188" fontId="1" fillId="24" borderId="31" xfId="0" applyNumberFormat="1" applyFont="1" applyFill="1" applyBorder="1" applyAlignment="1">
      <alignment horizontal="right"/>
    </xf>
    <xf numFmtId="187" fontId="2" fillId="8" borderId="30" xfId="0" applyNumberFormat="1" applyFont="1" applyFill="1" applyBorder="1" applyAlignment="1"/>
    <xf numFmtId="187" fontId="2" fillId="0" borderId="35" xfId="0" applyNumberFormat="1" applyFont="1" applyBorder="1" applyAlignment="1"/>
    <xf numFmtId="187" fontId="2" fillId="0" borderId="0" xfId="0" applyNumberFormat="1" applyFont="1" applyBorder="1" applyAlignment="1"/>
    <xf numFmtId="0" fontId="5" fillId="0" borderId="0" xfId="0" quotePrefix="1" applyFont="1" applyBorder="1" applyAlignment="1"/>
    <xf numFmtId="188" fontId="2" fillId="0" borderId="36" xfId="0" applyNumberFormat="1" applyFont="1" applyBorder="1" applyAlignment="1"/>
    <xf numFmtId="187" fontId="16" fillId="25" borderId="29" xfId="0" applyNumberFormat="1" applyFont="1" applyFill="1" applyBorder="1" applyAlignment="1"/>
    <xf numFmtId="188" fontId="2" fillId="25" borderId="37" xfId="0" applyNumberFormat="1" applyFont="1" applyFill="1" applyBorder="1" applyAlignment="1"/>
    <xf numFmtId="187" fontId="1" fillId="26" borderId="30" xfId="0" applyNumberFormat="1" applyFont="1" applyFill="1" applyBorder="1" applyAlignment="1"/>
    <xf numFmtId="188" fontId="2" fillId="26" borderId="31" xfId="0" applyNumberFormat="1" applyFont="1" applyFill="1" applyBorder="1" applyAlignment="1"/>
    <xf numFmtId="190" fontId="2" fillId="27" borderId="30" xfId="0" applyNumberFormat="1" applyFont="1" applyFill="1" applyBorder="1" applyAlignment="1"/>
    <xf numFmtId="188" fontId="2" fillId="27" borderId="31" xfId="0" applyNumberFormat="1" applyFont="1" applyFill="1" applyBorder="1" applyAlignment="1"/>
    <xf numFmtId="187" fontId="2" fillId="8" borderId="35" xfId="0" applyNumberFormat="1" applyFont="1" applyFill="1" applyBorder="1" applyAlignment="1"/>
    <xf numFmtId="187" fontId="2" fillId="8" borderId="0" xfId="0" applyNumberFormat="1" applyFont="1" applyFill="1" applyBorder="1" applyAlignment="1"/>
    <xf numFmtId="0" fontId="2" fillId="8" borderId="0" xfId="0" applyFont="1" applyFill="1" applyBorder="1" applyAlignment="1"/>
    <xf numFmtId="0" fontId="5" fillId="8" borderId="0" xfId="0" applyFont="1" applyFill="1" applyBorder="1" applyAlignment="1"/>
    <xf numFmtId="188" fontId="2" fillId="8" borderId="36" xfId="0" applyNumberFormat="1" applyFont="1" applyFill="1" applyBorder="1" applyAlignment="1"/>
    <xf numFmtId="187" fontId="1" fillId="28" borderId="29" xfId="0" applyNumberFormat="1" applyFont="1" applyFill="1" applyBorder="1" applyAlignment="1"/>
    <xf numFmtId="188" fontId="2" fillId="28" borderId="37" xfId="0" applyNumberFormat="1" applyFont="1" applyFill="1" applyBorder="1" applyAlignment="1"/>
    <xf numFmtId="187" fontId="1" fillId="29" borderId="30" xfId="0" applyNumberFormat="1" applyFont="1" applyFill="1" applyBorder="1" applyAlignment="1"/>
    <xf numFmtId="188" fontId="2" fillId="29" borderId="31" xfId="0" applyNumberFormat="1" applyFont="1" applyFill="1" applyBorder="1" applyAlignment="1"/>
    <xf numFmtId="187" fontId="2" fillId="30" borderId="30" xfId="0" applyNumberFormat="1" applyFont="1" applyFill="1" applyBorder="1" applyAlignment="1"/>
    <xf numFmtId="188" fontId="2" fillId="30" borderId="31" xfId="0" applyNumberFormat="1" applyFont="1" applyFill="1" applyBorder="1" applyAlignment="1"/>
    <xf numFmtId="190" fontId="2" fillId="30" borderId="30" xfId="0" applyNumberFormat="1" applyFont="1" applyFill="1" applyBorder="1" applyAlignment="1"/>
    <xf numFmtId="187" fontId="19" fillId="23" borderId="33" xfId="0" applyNumberFormat="1" applyFont="1" applyFill="1" applyBorder="1" applyAlignment="1"/>
    <xf numFmtId="188" fontId="2" fillId="23" borderId="34" xfId="0" applyNumberFormat="1" applyFont="1" applyFill="1" applyBorder="1" applyAlignment="1"/>
    <xf numFmtId="187" fontId="19" fillId="2" borderId="30" xfId="0" applyNumberFormat="1" applyFont="1" applyFill="1" applyBorder="1" applyAlignment="1"/>
    <xf numFmtId="187" fontId="19" fillId="23" borderId="30" xfId="0" applyNumberFormat="1" applyFont="1" applyFill="1" applyBorder="1" applyAlignment="1"/>
    <xf numFmtId="187" fontId="22" fillId="0" borderId="35" xfId="0" applyNumberFormat="1" applyFont="1" applyBorder="1" applyAlignment="1"/>
    <xf numFmtId="187" fontId="23" fillId="2" borderId="41" xfId="0" applyNumberFormat="1" applyFont="1" applyFill="1" applyBorder="1" applyAlignment="1"/>
    <xf numFmtId="188" fontId="2" fillId="2" borderId="42" xfId="0" applyNumberFormat="1" applyFont="1" applyFill="1" applyBorder="1" applyAlignment="1"/>
    <xf numFmtId="187" fontId="1" fillId="31" borderId="29" xfId="0" applyNumberFormat="1" applyFont="1" applyFill="1" applyBorder="1" applyAlignment="1"/>
    <xf numFmtId="188" fontId="2" fillId="31" borderId="37" xfId="0" applyNumberFormat="1" applyFont="1" applyFill="1" applyBorder="1" applyAlignment="1"/>
    <xf numFmtId="187" fontId="1" fillId="32" borderId="30" xfId="0" applyNumberFormat="1" applyFont="1" applyFill="1" applyBorder="1" applyAlignment="1"/>
    <xf numFmtId="188" fontId="2" fillId="32" borderId="31" xfId="0" applyNumberFormat="1" applyFont="1" applyFill="1" applyBorder="1" applyAlignment="1"/>
    <xf numFmtId="187" fontId="2" fillId="33" borderId="30" xfId="0" applyNumberFormat="1" applyFont="1" applyFill="1" applyBorder="1" applyAlignment="1"/>
    <xf numFmtId="188" fontId="2" fillId="33" borderId="31" xfId="0" applyNumberFormat="1" applyFont="1" applyFill="1" applyBorder="1" applyAlignment="1"/>
    <xf numFmtId="187" fontId="2" fillId="2" borderId="43" xfId="0" applyNumberFormat="1" applyFont="1" applyFill="1" applyBorder="1" applyAlignment="1"/>
    <xf numFmtId="0" fontId="2" fillId="2" borderId="44" xfId="0" applyFont="1" applyFill="1" applyBorder="1" applyAlignment="1"/>
    <xf numFmtId="187" fontId="2" fillId="2" borderId="44" xfId="0" applyNumberFormat="1" applyFont="1" applyFill="1" applyBorder="1" applyAlignment="1"/>
    <xf numFmtId="0" fontId="5" fillId="0" borderId="44" xfId="0" applyFont="1" applyBorder="1" applyAlignment="1"/>
    <xf numFmtId="187" fontId="2" fillId="0" borderId="44" xfId="0" applyNumberFormat="1" applyFont="1" applyBorder="1" applyAlignment="1"/>
    <xf numFmtId="0" fontId="2" fillId="2" borderId="45" xfId="0" applyFont="1" applyFill="1" applyBorder="1" applyAlignment="1"/>
    <xf numFmtId="0" fontId="5" fillId="2" borderId="45" xfId="0" applyFont="1" applyFill="1" applyBorder="1" applyAlignment="1">
      <alignment horizontal="center" wrapText="1"/>
    </xf>
    <xf numFmtId="189" fontId="5" fillId="2" borderId="45" xfId="0" applyNumberFormat="1" applyFont="1" applyFill="1" applyBorder="1" applyAlignment="1">
      <alignment horizontal="right"/>
    </xf>
    <xf numFmtId="188" fontId="5" fillId="2" borderId="45" xfId="0" applyNumberFormat="1" applyFont="1" applyFill="1" applyBorder="1" applyAlignment="1">
      <alignment horizontal="right"/>
    </xf>
    <xf numFmtId="188" fontId="2" fillId="2" borderId="45" xfId="0" applyNumberFormat="1" applyFont="1" applyFill="1" applyBorder="1" applyAlignment="1"/>
    <xf numFmtId="188" fontId="2" fillId="2" borderId="46" xfId="0" applyNumberFormat="1" applyFont="1" applyFill="1" applyBorder="1" applyAlignment="1"/>
    <xf numFmtId="188" fontId="1" fillId="5" borderId="23" xfId="0" applyNumberFormat="1" applyFont="1" applyFill="1" applyBorder="1" applyAlignment="1">
      <alignment horizontal="center" wrapText="1"/>
    </xf>
    <xf numFmtId="0" fontId="3" fillId="0" borderId="25" xfId="0" applyFont="1" applyBorder="1"/>
    <xf numFmtId="188" fontId="1" fillId="6" borderId="23" xfId="0" applyNumberFormat="1" applyFont="1" applyFill="1" applyBorder="1" applyAlignment="1">
      <alignment horizontal="center"/>
    </xf>
    <xf numFmtId="0" fontId="3" fillId="0" borderId="24" xfId="0" applyFont="1" applyBorder="1"/>
    <xf numFmtId="0" fontId="3" fillId="0" borderId="26" xfId="0" applyFont="1" applyBorder="1"/>
    <xf numFmtId="0" fontId="1" fillId="0" borderId="0" xfId="0" applyFont="1" applyAlignment="1">
      <alignment horizontal="center"/>
    </xf>
    <xf numFmtId="0" fontId="25" fillId="3" borderId="2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1" fillId="4" borderId="23" xfId="0" applyFont="1" applyFill="1" applyBorder="1" applyAlignment="1">
      <alignment horizontal="center"/>
    </xf>
    <xf numFmtId="0" fontId="1" fillId="8" borderId="29" xfId="0" applyFont="1" applyFill="1" applyBorder="1" applyAlignment="1"/>
    <xf numFmtId="0" fontId="3" fillId="0" borderId="1" xfId="0" applyFont="1" applyBorder="1"/>
    <xf numFmtId="0" fontId="3" fillId="0" borderId="2" xfId="0" applyFont="1" applyBorder="1"/>
    <xf numFmtId="0" fontId="1" fillId="9" borderId="27" xfId="0" applyFont="1" applyFill="1" applyBorder="1" applyAlignment="1"/>
    <xf numFmtId="0" fontId="3" fillId="0" borderId="3" xfId="0" applyFont="1" applyBorder="1"/>
    <xf numFmtId="0" fontId="3" fillId="0" borderId="4" xfId="0" applyFont="1" applyBorder="1"/>
    <xf numFmtId="0" fontId="1" fillId="8" borderId="27" xfId="0" applyFont="1" applyFill="1" applyBorder="1" applyAlignment="1"/>
    <xf numFmtId="0" fontId="1" fillId="15" borderId="29" xfId="0" applyFont="1" applyFill="1" applyBorder="1" applyAlignment="1"/>
    <xf numFmtId="0" fontId="1" fillId="16" borderId="7" xfId="0" applyFont="1" applyFill="1" applyBorder="1" applyAlignment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545"/>
  <sheetViews>
    <sheetView tabSelected="1" view="pageBreakPreview" zoomScale="85" zoomScaleNormal="85" zoomScaleSheetLayoutView="85" workbookViewId="0">
      <pane xSplit="8" ySplit="6" topLeftCell="I26" activePane="bottomRight" state="frozen"/>
      <selection pane="topRight" activeCell="I1" sqref="I1"/>
      <selection pane="bottomLeft" activeCell="A7" sqref="A7"/>
      <selection pane="bottomRight" activeCell="R29" sqref="R29"/>
    </sheetView>
  </sheetViews>
  <sheetFormatPr defaultColWidth="12.5703125" defaultRowHeight="15.75" customHeight="1"/>
  <cols>
    <col min="1" max="6" width="3.28515625" style="1" customWidth="1"/>
    <col min="7" max="7" width="61.42578125" style="1" customWidth="1"/>
    <col min="8" max="8" width="9.42578125" style="1" customWidth="1"/>
    <col min="9" max="10" width="16.140625" style="1" bestFit="1" customWidth="1"/>
    <col min="11" max="11" width="10.85546875" style="1" bestFit="1" customWidth="1"/>
    <col min="12" max="14" width="23.5703125" style="1" bestFit="1" customWidth="1"/>
    <col min="15" max="16" width="10.42578125" style="1" bestFit="1" customWidth="1"/>
    <col min="17" max="16384" width="12.5703125" style="1"/>
  </cols>
  <sheetData>
    <row r="1" spans="1:16" ht="19.5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9.5">
      <c r="A2" s="523" t="s">
        <v>1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9.5">
      <c r="A3" s="523" t="s">
        <v>145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2.75">
      <c r="A4" s="2"/>
      <c r="B4" s="2"/>
      <c r="C4" s="2"/>
      <c r="D4" s="2"/>
      <c r="E4" s="2"/>
      <c r="F4" s="2"/>
      <c r="G4" s="2"/>
      <c r="H4" s="2"/>
      <c r="I4" s="2"/>
      <c r="J4" s="3"/>
      <c r="K4" s="4"/>
      <c r="L4" s="3"/>
      <c r="M4" s="3"/>
      <c r="N4" s="3"/>
      <c r="O4" s="2"/>
      <c r="P4" s="2"/>
    </row>
    <row r="5" spans="1:16" ht="19.5">
      <c r="A5" s="526" t="s">
        <v>2</v>
      </c>
      <c r="B5" s="527"/>
      <c r="C5" s="527"/>
      <c r="D5" s="527"/>
      <c r="E5" s="527"/>
      <c r="F5" s="527"/>
      <c r="G5" s="528"/>
      <c r="H5" s="524" t="s">
        <v>3</v>
      </c>
      <c r="I5" s="532" t="s">
        <v>4</v>
      </c>
      <c r="J5" s="521"/>
      <c r="K5" s="519"/>
      <c r="L5" s="518" t="s">
        <v>5</v>
      </c>
      <c r="M5" s="519"/>
      <c r="N5" s="520" t="s">
        <v>6</v>
      </c>
      <c r="O5" s="521"/>
      <c r="P5" s="522"/>
    </row>
    <row r="6" spans="1:16" ht="97.5">
      <c r="A6" s="529"/>
      <c r="B6" s="530"/>
      <c r="C6" s="530"/>
      <c r="D6" s="530"/>
      <c r="E6" s="530"/>
      <c r="F6" s="530"/>
      <c r="G6" s="531"/>
      <c r="H6" s="525"/>
      <c r="I6" s="381" t="s">
        <v>7</v>
      </c>
      <c r="J6" s="382" t="s">
        <v>8</v>
      </c>
      <c r="K6" s="381" t="s">
        <v>9</v>
      </c>
      <c r="L6" s="383" t="s">
        <v>10</v>
      </c>
      <c r="M6" s="384" t="s">
        <v>11</v>
      </c>
      <c r="N6" s="385" t="s">
        <v>12</v>
      </c>
      <c r="O6" s="5" t="s">
        <v>151</v>
      </c>
      <c r="P6" s="392" t="s">
        <v>152</v>
      </c>
    </row>
    <row r="7" spans="1:16" ht="19.5" hidden="1">
      <c r="A7" s="533"/>
      <c r="B7" s="534"/>
      <c r="C7" s="534"/>
      <c r="D7" s="534"/>
      <c r="E7" s="534"/>
      <c r="F7" s="534"/>
      <c r="G7" s="535"/>
      <c r="H7" s="6"/>
      <c r="I7" s="7"/>
      <c r="J7" s="7"/>
      <c r="K7" s="8"/>
      <c r="L7" s="8"/>
      <c r="M7" s="8"/>
      <c r="N7" s="8"/>
      <c r="O7" s="8"/>
      <c r="P7" s="393"/>
    </row>
    <row r="8" spans="1:16" ht="19.5" hidden="1">
      <c r="A8" s="394"/>
      <c r="B8" s="9"/>
      <c r="C8" s="10"/>
      <c r="D8" s="11"/>
      <c r="E8" s="9"/>
      <c r="F8" s="9"/>
      <c r="G8" s="12"/>
      <c r="H8" s="13"/>
      <c r="I8" s="14"/>
      <c r="J8" s="14"/>
      <c r="K8" s="15"/>
      <c r="L8" s="16"/>
      <c r="M8" s="16"/>
      <c r="N8" s="16"/>
      <c r="O8" s="16"/>
      <c r="P8" s="395"/>
    </row>
    <row r="9" spans="1:16" ht="18.75" hidden="1">
      <c r="A9" s="394"/>
      <c r="B9" s="9"/>
      <c r="C9" s="9"/>
      <c r="D9" s="9"/>
      <c r="E9" s="17"/>
      <c r="F9" s="9"/>
      <c r="G9" s="12"/>
      <c r="H9" s="18"/>
      <c r="I9" s="14"/>
      <c r="J9" s="14"/>
      <c r="K9" s="15"/>
      <c r="L9" s="19"/>
      <c r="M9" s="19"/>
      <c r="N9" s="19"/>
      <c r="O9" s="19"/>
      <c r="P9" s="396"/>
    </row>
    <row r="10" spans="1:16" ht="18.75" hidden="1">
      <c r="A10" s="394"/>
      <c r="B10" s="9"/>
      <c r="C10" s="9"/>
      <c r="D10" s="9"/>
      <c r="E10" s="17"/>
      <c r="F10" s="9"/>
      <c r="G10" s="12"/>
      <c r="H10" s="18"/>
      <c r="I10" s="14"/>
      <c r="J10" s="14"/>
      <c r="K10" s="15"/>
      <c r="L10" s="19"/>
      <c r="M10" s="19"/>
      <c r="N10" s="19"/>
      <c r="O10" s="19"/>
      <c r="P10" s="396"/>
    </row>
    <row r="11" spans="1:16" ht="18.75" hidden="1">
      <c r="A11" s="394"/>
      <c r="B11" s="9"/>
      <c r="C11" s="9"/>
      <c r="D11" s="20"/>
      <c r="E11" s="9"/>
      <c r="F11" s="9"/>
      <c r="G11" s="12"/>
      <c r="H11" s="18"/>
      <c r="I11" s="14"/>
      <c r="J11" s="14"/>
      <c r="K11" s="15"/>
      <c r="L11" s="19"/>
      <c r="M11" s="19"/>
      <c r="N11" s="19"/>
      <c r="O11" s="19"/>
      <c r="P11" s="396"/>
    </row>
    <row r="12" spans="1:16" ht="18.75" hidden="1">
      <c r="A12" s="394"/>
      <c r="B12" s="9"/>
      <c r="C12" s="9"/>
      <c r="D12" s="9"/>
      <c r="E12" s="17"/>
      <c r="F12" s="9"/>
      <c r="G12" s="12"/>
      <c r="H12" s="18"/>
      <c r="I12" s="14"/>
      <c r="J12" s="14"/>
      <c r="K12" s="15"/>
      <c r="L12" s="19"/>
      <c r="M12" s="19"/>
      <c r="N12" s="19"/>
      <c r="O12" s="19"/>
      <c r="P12" s="396"/>
    </row>
    <row r="13" spans="1:16" ht="18.75" hidden="1">
      <c r="A13" s="394"/>
      <c r="B13" s="9"/>
      <c r="C13" s="9"/>
      <c r="D13" s="9"/>
      <c r="E13" s="17"/>
      <c r="F13" s="9"/>
      <c r="G13" s="12"/>
      <c r="H13" s="18"/>
      <c r="I13" s="14"/>
      <c r="J13" s="14"/>
      <c r="K13" s="15"/>
      <c r="L13" s="19"/>
      <c r="M13" s="19"/>
      <c r="N13" s="19"/>
      <c r="O13" s="19"/>
      <c r="P13" s="396"/>
    </row>
    <row r="14" spans="1:16" ht="18.75" hidden="1">
      <c r="A14" s="394"/>
      <c r="B14" s="9"/>
      <c r="C14" s="9"/>
      <c r="D14" s="20"/>
      <c r="E14" s="9"/>
      <c r="F14" s="9"/>
      <c r="G14" s="12"/>
      <c r="H14" s="18"/>
      <c r="I14" s="14"/>
      <c r="J14" s="14"/>
      <c r="K14" s="15"/>
      <c r="L14" s="19"/>
      <c r="M14" s="19"/>
      <c r="N14" s="19"/>
      <c r="O14" s="19"/>
      <c r="P14" s="396"/>
    </row>
    <row r="15" spans="1:16" ht="18.75" hidden="1">
      <c r="A15" s="394"/>
      <c r="B15" s="9"/>
      <c r="C15" s="9"/>
      <c r="D15" s="9"/>
      <c r="E15" s="17"/>
      <c r="F15" s="9"/>
      <c r="G15" s="12"/>
      <c r="H15" s="18"/>
      <c r="I15" s="14"/>
      <c r="J15" s="14"/>
      <c r="K15" s="15"/>
      <c r="L15" s="19"/>
      <c r="M15" s="19"/>
      <c r="N15" s="19"/>
      <c r="O15" s="19"/>
      <c r="P15" s="396"/>
    </row>
    <row r="16" spans="1:16" ht="18.75" hidden="1">
      <c r="A16" s="397"/>
      <c r="B16" s="21"/>
      <c r="C16" s="21"/>
      <c r="D16" s="21"/>
      <c r="E16" s="22"/>
      <c r="F16" s="21"/>
      <c r="G16" s="23"/>
      <c r="H16" s="24"/>
      <c r="I16" s="25"/>
      <c r="J16" s="25"/>
      <c r="K16" s="26"/>
      <c r="L16" s="27"/>
      <c r="M16" s="27"/>
      <c r="N16" s="27"/>
      <c r="O16" s="27"/>
      <c r="P16" s="398"/>
    </row>
    <row r="17" spans="1:16" ht="19.5">
      <c r="A17" s="536" t="s">
        <v>13</v>
      </c>
      <c r="B17" s="537"/>
      <c r="C17" s="537"/>
      <c r="D17" s="537"/>
      <c r="E17" s="537"/>
      <c r="F17" s="537"/>
      <c r="G17" s="538"/>
      <c r="H17" s="28"/>
      <c r="I17" s="29"/>
      <c r="J17" s="29"/>
      <c r="K17" s="30"/>
      <c r="L17" s="30"/>
      <c r="M17" s="30"/>
      <c r="N17" s="30"/>
      <c r="O17" s="30"/>
      <c r="P17" s="399"/>
    </row>
    <row r="18" spans="1:16" ht="19.5">
      <c r="A18" s="400"/>
      <c r="B18" s="31"/>
      <c r="C18" s="32" t="s">
        <v>14</v>
      </c>
      <c r="D18" s="33" t="s">
        <v>15</v>
      </c>
      <c r="E18" s="31"/>
      <c r="F18" s="31"/>
      <c r="G18" s="34"/>
      <c r="H18" s="35" t="s">
        <v>12</v>
      </c>
      <c r="I18" s="36"/>
      <c r="J18" s="36"/>
      <c r="K18" s="37"/>
      <c r="L18" s="38">
        <f t="shared" ref="L18:N18" ca="1" si="0">L19+L20</f>
        <v>767079800</v>
      </c>
      <c r="M18" s="38">
        <f t="shared" ca="1" si="0"/>
        <v>710116300</v>
      </c>
      <c r="N18" s="38">
        <f t="shared" ca="1" si="0"/>
        <v>262092833.12999988</v>
      </c>
      <c r="O18" s="38">
        <f t="shared" ref="O18:O29" ca="1" si="1">IF(L18&gt;0,N18*100/L18,0)</f>
        <v>34.16760982755639</v>
      </c>
      <c r="P18" s="401">
        <f t="shared" ref="P18:P29" ca="1" si="2">IF(M18&gt;0,N18*100/M18,0)</f>
        <v>36.908437833352068</v>
      </c>
    </row>
    <row r="19" spans="1:16" ht="18.75">
      <c r="A19" s="400"/>
      <c r="B19" s="31"/>
      <c r="C19" s="31"/>
      <c r="D19" s="31"/>
      <c r="E19" s="39" t="s">
        <v>16</v>
      </c>
      <c r="F19" s="31"/>
      <c r="G19" s="34"/>
      <c r="H19" s="40" t="s">
        <v>12</v>
      </c>
      <c r="I19" s="36"/>
      <c r="J19" s="36"/>
      <c r="K19" s="37"/>
      <c r="L19" s="41">
        <f t="shared" ref="L19:N19" ca="1" si="3">L22+L25+L28</f>
        <v>612262828</v>
      </c>
      <c r="M19" s="41">
        <f t="shared" ca="1" si="3"/>
        <v>577487371</v>
      </c>
      <c r="N19" s="41">
        <f t="shared" ca="1" si="3"/>
        <v>215154448.19</v>
      </c>
      <c r="O19" s="41">
        <f t="shared" ca="1" si="1"/>
        <v>35.140864078392163</v>
      </c>
      <c r="P19" s="402">
        <f t="shared" ca="1" si="2"/>
        <v>37.256996255594309</v>
      </c>
    </row>
    <row r="20" spans="1:16" ht="18.75">
      <c r="A20" s="400"/>
      <c r="B20" s="31"/>
      <c r="C20" s="31"/>
      <c r="D20" s="31"/>
      <c r="E20" s="39" t="s">
        <v>17</v>
      </c>
      <c r="F20" s="31"/>
      <c r="G20" s="34"/>
      <c r="H20" s="40" t="s">
        <v>12</v>
      </c>
      <c r="I20" s="36"/>
      <c r="J20" s="36"/>
      <c r="K20" s="37"/>
      <c r="L20" s="41">
        <f t="shared" ref="L20:N20" ca="1" si="4">L23+L26+L29</f>
        <v>154816972</v>
      </c>
      <c r="M20" s="41">
        <f t="shared" ca="1" si="4"/>
        <v>132628929</v>
      </c>
      <c r="N20" s="41">
        <f t="shared" ca="1" si="4"/>
        <v>46938384.939999893</v>
      </c>
      <c r="O20" s="41">
        <f t="shared" ca="1" si="1"/>
        <v>30.318630014285446</v>
      </c>
      <c r="P20" s="402">
        <f t="shared" ca="1" si="2"/>
        <v>35.390759236244676</v>
      </c>
    </row>
    <row r="21" spans="1:16" ht="18.75">
      <c r="A21" s="403"/>
      <c r="B21" s="42"/>
      <c r="C21" s="42"/>
      <c r="D21" s="43" t="s">
        <v>18</v>
      </c>
      <c r="E21" s="42"/>
      <c r="F21" s="42"/>
      <c r="G21" s="44"/>
      <c r="H21" s="45" t="s">
        <v>12</v>
      </c>
      <c r="I21" s="46"/>
      <c r="J21" s="46"/>
      <c r="K21" s="47"/>
      <c r="L21" s="48">
        <f t="shared" ref="L21:N21" ca="1" si="5">L22+L23</f>
        <v>252219000</v>
      </c>
      <c r="M21" s="48">
        <f t="shared" ca="1" si="5"/>
        <v>207700900</v>
      </c>
      <c r="N21" s="48">
        <f t="shared" ca="1" si="5"/>
        <v>68636249.179999888</v>
      </c>
      <c r="O21" s="48">
        <f t="shared" ca="1" si="1"/>
        <v>27.212957461571051</v>
      </c>
      <c r="P21" s="404">
        <f t="shared" ca="1" si="2"/>
        <v>33.045715825015627</v>
      </c>
    </row>
    <row r="22" spans="1:16" ht="18.75">
      <c r="A22" s="403"/>
      <c r="B22" s="42"/>
      <c r="C22" s="42"/>
      <c r="D22" s="42"/>
      <c r="E22" s="49" t="s">
        <v>16</v>
      </c>
      <c r="F22" s="42"/>
      <c r="G22" s="44"/>
      <c r="H22" s="45" t="s">
        <v>12</v>
      </c>
      <c r="I22" s="46"/>
      <c r="J22" s="46"/>
      <c r="K22" s="47"/>
      <c r="L22" s="48">
        <f t="shared" ref="L22:N22" ca="1" si="6">L48+L63+L76+L98+L129+L143+L161+L190+L177+L270+L286+L307+L324+L337+L360+L381</f>
        <v>109847428</v>
      </c>
      <c r="M22" s="48">
        <f t="shared" ca="1" si="6"/>
        <v>88806391</v>
      </c>
      <c r="N22" s="48">
        <f t="shared" ca="1" si="6"/>
        <v>34017565.719999999</v>
      </c>
      <c r="O22" s="48">
        <f t="shared" ca="1" si="1"/>
        <v>30.968012942460518</v>
      </c>
      <c r="P22" s="404">
        <f t="shared" ca="1" si="2"/>
        <v>38.305312643546117</v>
      </c>
    </row>
    <row r="23" spans="1:16" ht="18.75">
      <c r="A23" s="403"/>
      <c r="B23" s="42"/>
      <c r="C23" s="42"/>
      <c r="D23" s="42"/>
      <c r="E23" s="49" t="s">
        <v>17</v>
      </c>
      <c r="F23" s="42"/>
      <c r="G23" s="44"/>
      <c r="H23" s="45" t="s">
        <v>12</v>
      </c>
      <c r="I23" s="46"/>
      <c r="J23" s="46"/>
      <c r="K23" s="47"/>
      <c r="L23" s="48">
        <f t="shared" ref="L23:N23" ca="1" si="7">L49+L64+L77+L99+L130+L144+L162+L191+L178+L271+L287+L308+L325+L338+L361+L382</f>
        <v>142371572</v>
      </c>
      <c r="M23" s="48">
        <f t="shared" ca="1" si="7"/>
        <v>118894509</v>
      </c>
      <c r="N23" s="48">
        <f t="shared" ca="1" si="7"/>
        <v>34618683.459999897</v>
      </c>
      <c r="O23" s="48">
        <f t="shared" ca="1" si="1"/>
        <v>24.315727482449862</v>
      </c>
      <c r="P23" s="404">
        <f t="shared" ca="1" si="2"/>
        <v>29.117142373664958</v>
      </c>
    </row>
    <row r="24" spans="1:16" ht="18.75">
      <c r="A24" s="403"/>
      <c r="B24" s="42"/>
      <c r="C24" s="42"/>
      <c r="D24" s="43" t="s">
        <v>19</v>
      </c>
      <c r="E24" s="42"/>
      <c r="F24" s="42"/>
      <c r="G24" s="44"/>
      <c r="H24" s="45" t="s">
        <v>12</v>
      </c>
      <c r="I24" s="46"/>
      <c r="J24" s="46"/>
      <c r="K24" s="47"/>
      <c r="L24" s="48">
        <f t="shared" ref="L24:N24" ca="1" si="8">L25+L26</f>
        <v>12445400</v>
      </c>
      <c r="M24" s="48">
        <f t="shared" ca="1" si="8"/>
        <v>0</v>
      </c>
      <c r="N24" s="48">
        <f t="shared" ca="1" si="8"/>
        <v>0</v>
      </c>
      <c r="O24" s="48">
        <f t="shared" ca="1" si="1"/>
        <v>0</v>
      </c>
      <c r="P24" s="404">
        <f t="shared" ca="1" si="2"/>
        <v>0</v>
      </c>
    </row>
    <row r="25" spans="1:16" ht="18.75">
      <c r="A25" s="403"/>
      <c r="B25" s="42"/>
      <c r="C25" s="42"/>
      <c r="D25" s="42"/>
      <c r="E25" s="49" t="s">
        <v>16</v>
      </c>
      <c r="F25" s="42"/>
      <c r="G25" s="44"/>
      <c r="H25" s="45" t="s">
        <v>12</v>
      </c>
      <c r="I25" s="46"/>
      <c r="J25" s="46"/>
      <c r="K25" s="47"/>
      <c r="L25" s="48">
        <f t="shared" ref="L25:N25" ca="1" si="9">L51+L66+L79+L101+L132+L146+L164+L193+L180+L273+L289+L310+L327+L340+L363+L384</f>
        <v>0</v>
      </c>
      <c r="M25" s="48">
        <f t="shared" ca="1" si="9"/>
        <v>0</v>
      </c>
      <c r="N25" s="48">
        <f t="shared" ca="1" si="9"/>
        <v>0</v>
      </c>
      <c r="O25" s="48">
        <f t="shared" ca="1" si="1"/>
        <v>0</v>
      </c>
      <c r="P25" s="404">
        <f t="shared" ca="1" si="2"/>
        <v>0</v>
      </c>
    </row>
    <row r="26" spans="1:16" ht="18.75">
      <c r="A26" s="403"/>
      <c r="B26" s="42"/>
      <c r="C26" s="42"/>
      <c r="D26" s="42"/>
      <c r="E26" s="49" t="s">
        <v>17</v>
      </c>
      <c r="F26" s="42"/>
      <c r="G26" s="44"/>
      <c r="H26" s="45" t="s">
        <v>12</v>
      </c>
      <c r="I26" s="46"/>
      <c r="J26" s="46"/>
      <c r="K26" s="47"/>
      <c r="L26" s="48">
        <f t="shared" ref="L26:N26" ca="1" si="10">L52+L67+L80+L102+L133+L147+L165+L194+L181+L274+L290+L311+L328+L341+L364+L385</f>
        <v>12445400</v>
      </c>
      <c r="M26" s="48">
        <f t="shared" ca="1" si="10"/>
        <v>0</v>
      </c>
      <c r="N26" s="48">
        <f t="shared" ca="1" si="10"/>
        <v>0</v>
      </c>
      <c r="O26" s="48">
        <f t="shared" ca="1" si="1"/>
        <v>0</v>
      </c>
      <c r="P26" s="404">
        <f t="shared" ca="1" si="2"/>
        <v>0</v>
      </c>
    </row>
    <row r="27" spans="1:16" ht="18.75">
      <c r="A27" s="405"/>
      <c r="B27" s="50"/>
      <c r="C27" s="50"/>
      <c r="D27" s="51" t="s">
        <v>20</v>
      </c>
      <c r="E27" s="50"/>
      <c r="F27" s="50"/>
      <c r="G27" s="52"/>
      <c r="H27" s="53" t="s">
        <v>12</v>
      </c>
      <c r="I27" s="54"/>
      <c r="J27" s="54"/>
      <c r="K27" s="55"/>
      <c r="L27" s="56">
        <f t="shared" ref="L27:N27" ca="1" si="11">L28+L29</f>
        <v>502415400</v>
      </c>
      <c r="M27" s="56">
        <f t="shared" ca="1" si="11"/>
        <v>502415400</v>
      </c>
      <c r="N27" s="56">
        <f t="shared" ca="1" si="11"/>
        <v>193456583.94999999</v>
      </c>
      <c r="O27" s="56">
        <f t="shared" ca="1" si="1"/>
        <v>38.505305360862742</v>
      </c>
      <c r="P27" s="406">
        <f t="shared" ca="1" si="2"/>
        <v>38.505305360862742</v>
      </c>
    </row>
    <row r="28" spans="1:16" ht="18.75">
      <c r="A28" s="403"/>
      <c r="B28" s="42"/>
      <c r="C28" s="42"/>
      <c r="D28" s="42"/>
      <c r="E28" s="49" t="s">
        <v>16</v>
      </c>
      <c r="F28" s="42"/>
      <c r="G28" s="44"/>
      <c r="H28" s="45" t="s">
        <v>12</v>
      </c>
      <c r="I28" s="46"/>
      <c r="J28" s="46"/>
      <c r="K28" s="47"/>
      <c r="L28" s="48">
        <f t="shared" ref="L28:N28" ca="1" si="12">L54</f>
        <v>502415400</v>
      </c>
      <c r="M28" s="48">
        <f t="shared" ca="1" si="12"/>
        <v>488680980</v>
      </c>
      <c r="N28" s="48">
        <f t="shared" ca="1" si="12"/>
        <v>181136882.47</v>
      </c>
      <c r="O28" s="48">
        <f t="shared" ca="1" si="1"/>
        <v>36.053210644020865</v>
      </c>
      <c r="P28" s="404">
        <f t="shared" ca="1" si="2"/>
        <v>37.066489158223426</v>
      </c>
    </row>
    <row r="29" spans="1:16" ht="18.75">
      <c r="A29" s="407"/>
      <c r="B29" s="57"/>
      <c r="C29" s="57"/>
      <c r="D29" s="57"/>
      <c r="E29" s="58" t="s">
        <v>17</v>
      </c>
      <c r="F29" s="57"/>
      <c r="G29" s="59"/>
      <c r="H29" s="60" t="s">
        <v>12</v>
      </c>
      <c r="I29" s="61"/>
      <c r="J29" s="61"/>
      <c r="K29" s="62"/>
      <c r="L29" s="63">
        <f t="shared" ref="L29:N29" ca="1" si="13">L55</f>
        <v>0</v>
      </c>
      <c r="M29" s="63">
        <f t="shared" ca="1" si="13"/>
        <v>13734420</v>
      </c>
      <c r="N29" s="63">
        <f t="shared" ca="1" si="13"/>
        <v>12319701.48</v>
      </c>
      <c r="O29" s="63">
        <f t="shared" ca="1" si="1"/>
        <v>0</v>
      </c>
      <c r="P29" s="408">
        <f t="shared" ca="1" si="2"/>
        <v>89.699466595604335</v>
      </c>
    </row>
    <row r="30" spans="1:16" ht="19.5" hidden="1">
      <c r="A30" s="539"/>
      <c r="B30" s="537"/>
      <c r="C30" s="537"/>
      <c r="D30" s="537"/>
      <c r="E30" s="537"/>
      <c r="F30" s="537"/>
      <c r="G30" s="538"/>
      <c r="H30" s="23"/>
      <c r="I30" s="25"/>
      <c r="J30" s="25"/>
      <c r="K30" s="26"/>
      <c r="L30" s="26"/>
      <c r="M30" s="26"/>
      <c r="N30" s="26"/>
      <c r="O30" s="26"/>
      <c r="P30" s="409"/>
    </row>
    <row r="31" spans="1:16" ht="19.5" hidden="1">
      <c r="A31" s="394"/>
      <c r="B31" s="9"/>
      <c r="C31" s="10"/>
      <c r="D31" s="11"/>
      <c r="E31" s="9"/>
      <c r="F31" s="9"/>
      <c r="G31" s="12"/>
      <c r="H31" s="13"/>
      <c r="I31" s="14"/>
      <c r="J31" s="14"/>
      <c r="K31" s="15"/>
      <c r="L31" s="16"/>
      <c r="M31" s="16"/>
      <c r="N31" s="16"/>
      <c r="O31" s="16"/>
      <c r="P31" s="395"/>
    </row>
    <row r="32" spans="1:16" ht="18.75" hidden="1">
      <c r="A32" s="394"/>
      <c r="B32" s="9"/>
      <c r="C32" s="9"/>
      <c r="D32" s="9"/>
      <c r="E32" s="17"/>
      <c r="F32" s="9"/>
      <c r="G32" s="12"/>
      <c r="H32" s="18"/>
      <c r="I32" s="14"/>
      <c r="J32" s="14"/>
      <c r="K32" s="15"/>
      <c r="L32" s="19"/>
      <c r="M32" s="19"/>
      <c r="N32" s="19"/>
      <c r="O32" s="19"/>
      <c r="P32" s="396"/>
    </row>
    <row r="33" spans="1:16" ht="18.75" hidden="1">
      <c r="A33" s="394"/>
      <c r="B33" s="9"/>
      <c r="C33" s="9"/>
      <c r="D33" s="9"/>
      <c r="E33" s="17"/>
      <c r="F33" s="9"/>
      <c r="G33" s="12"/>
      <c r="H33" s="18"/>
      <c r="I33" s="14"/>
      <c r="J33" s="14"/>
      <c r="K33" s="15"/>
      <c r="L33" s="19"/>
      <c r="M33" s="19"/>
      <c r="N33" s="19"/>
      <c r="O33" s="19"/>
      <c r="P33" s="396"/>
    </row>
    <row r="34" spans="1:16" ht="18.75" hidden="1">
      <c r="A34" s="394"/>
      <c r="B34" s="9"/>
      <c r="C34" s="9"/>
      <c r="D34" s="20"/>
      <c r="E34" s="9"/>
      <c r="F34" s="9"/>
      <c r="G34" s="12"/>
      <c r="H34" s="18"/>
      <c r="I34" s="14"/>
      <c r="J34" s="14"/>
      <c r="K34" s="15"/>
      <c r="L34" s="19"/>
      <c r="M34" s="19"/>
      <c r="N34" s="19"/>
      <c r="O34" s="19"/>
      <c r="P34" s="396"/>
    </row>
    <row r="35" spans="1:16" ht="18.75" hidden="1">
      <c r="A35" s="394"/>
      <c r="B35" s="9"/>
      <c r="C35" s="9"/>
      <c r="D35" s="9"/>
      <c r="E35" s="17"/>
      <c r="F35" s="9"/>
      <c r="G35" s="12"/>
      <c r="H35" s="18"/>
      <c r="I35" s="14"/>
      <c r="J35" s="14"/>
      <c r="K35" s="15"/>
      <c r="L35" s="19"/>
      <c r="M35" s="19"/>
      <c r="N35" s="19"/>
      <c r="O35" s="19"/>
      <c r="P35" s="396"/>
    </row>
    <row r="36" spans="1:16" ht="18.75" hidden="1">
      <c r="A36" s="394"/>
      <c r="B36" s="9"/>
      <c r="C36" s="9"/>
      <c r="D36" s="9"/>
      <c r="E36" s="17"/>
      <c r="F36" s="9"/>
      <c r="G36" s="12"/>
      <c r="H36" s="18"/>
      <c r="I36" s="14"/>
      <c r="J36" s="14"/>
      <c r="K36" s="15"/>
      <c r="L36" s="19"/>
      <c r="M36" s="19"/>
      <c r="N36" s="19"/>
      <c r="O36" s="19"/>
      <c r="P36" s="396"/>
    </row>
    <row r="37" spans="1:16" ht="18.75" hidden="1">
      <c r="A37" s="394"/>
      <c r="B37" s="9"/>
      <c r="C37" s="9"/>
      <c r="D37" s="20"/>
      <c r="E37" s="9"/>
      <c r="F37" s="9"/>
      <c r="G37" s="12"/>
      <c r="H37" s="18"/>
      <c r="I37" s="14"/>
      <c r="J37" s="14"/>
      <c r="K37" s="15"/>
      <c r="L37" s="19"/>
      <c r="M37" s="19"/>
      <c r="N37" s="19"/>
      <c r="O37" s="19"/>
      <c r="P37" s="396"/>
    </row>
    <row r="38" spans="1:16" ht="18.75" hidden="1">
      <c r="A38" s="394"/>
      <c r="B38" s="9"/>
      <c r="C38" s="9"/>
      <c r="D38" s="9"/>
      <c r="E38" s="17"/>
      <c r="F38" s="9"/>
      <c r="G38" s="12"/>
      <c r="H38" s="18"/>
      <c r="I38" s="14"/>
      <c r="J38" s="14"/>
      <c r="K38" s="15"/>
      <c r="L38" s="19"/>
      <c r="M38" s="19"/>
      <c r="N38" s="19"/>
      <c r="O38" s="19"/>
      <c r="P38" s="396"/>
    </row>
    <row r="39" spans="1:16" ht="18.75" hidden="1">
      <c r="A39" s="397"/>
      <c r="B39" s="21"/>
      <c r="C39" s="21"/>
      <c r="D39" s="21"/>
      <c r="E39" s="22"/>
      <c r="F39" s="21"/>
      <c r="G39" s="23"/>
      <c r="H39" s="24"/>
      <c r="I39" s="25"/>
      <c r="J39" s="25"/>
      <c r="K39" s="26"/>
      <c r="L39" s="27"/>
      <c r="M39" s="27"/>
      <c r="N39" s="27"/>
      <c r="O39" s="27"/>
      <c r="P39" s="398"/>
    </row>
    <row r="40" spans="1:16" ht="19.5">
      <c r="A40" s="410" t="s">
        <v>21</v>
      </c>
      <c r="B40" s="411"/>
      <c r="C40" s="411"/>
      <c r="D40" s="411"/>
      <c r="E40" s="411"/>
      <c r="F40" s="411"/>
      <c r="G40" s="64"/>
      <c r="H40" s="64"/>
      <c r="I40" s="65"/>
      <c r="J40" s="65"/>
      <c r="K40" s="66"/>
      <c r="L40" s="67">
        <f t="shared" ref="L40:N40" ca="1" si="14">L44+L59+L72+L94+L125+L139+L157+L173+L186+L266+L282+L303+L320+L333+L356</f>
        <v>754634400</v>
      </c>
      <c r="M40" s="67">
        <f t="shared" ca="1" si="14"/>
        <v>710116300</v>
      </c>
      <c r="N40" s="67">
        <f t="shared" ca="1" si="14"/>
        <v>262092833.12999985</v>
      </c>
      <c r="O40" s="67">
        <f ca="1">IF(L40&gt;0,N40*100/L40,0)</f>
        <v>34.731100666759936</v>
      </c>
      <c r="P40" s="412">
        <f ca="1">IF(M40&gt;0,N40*100/M40,0)</f>
        <v>36.908437833352068</v>
      </c>
    </row>
    <row r="41" spans="1:16" ht="19.5">
      <c r="A41" s="413" t="s">
        <v>22</v>
      </c>
      <c r="B41" s="68"/>
      <c r="C41" s="68"/>
      <c r="D41" s="68"/>
      <c r="E41" s="68"/>
      <c r="F41" s="68"/>
      <c r="G41" s="68"/>
      <c r="H41" s="68"/>
      <c r="I41" s="69"/>
      <c r="J41" s="69"/>
      <c r="K41" s="70"/>
      <c r="L41" s="70"/>
      <c r="M41" s="70"/>
      <c r="N41" s="70"/>
      <c r="O41" s="70"/>
      <c r="P41" s="414"/>
    </row>
    <row r="42" spans="1:16" ht="19.5">
      <c r="A42" s="415"/>
      <c r="B42" s="72" t="s">
        <v>23</v>
      </c>
      <c r="C42" s="71"/>
      <c r="D42" s="71"/>
      <c r="E42" s="71"/>
      <c r="F42" s="71"/>
      <c r="G42" s="71"/>
      <c r="H42" s="73"/>
      <c r="I42" s="74"/>
      <c r="J42" s="74"/>
      <c r="K42" s="75"/>
      <c r="L42" s="75"/>
      <c r="M42" s="75"/>
      <c r="N42" s="75"/>
      <c r="O42" s="75"/>
      <c r="P42" s="416"/>
    </row>
    <row r="43" spans="1:16" ht="19.5" hidden="1">
      <c r="A43" s="394"/>
      <c r="B43" s="9"/>
      <c r="C43" s="10"/>
      <c r="D43" s="11"/>
      <c r="E43" s="9"/>
      <c r="F43" s="9"/>
      <c r="G43" s="12"/>
      <c r="H43" s="13"/>
      <c r="I43" s="14"/>
      <c r="J43" s="14"/>
      <c r="K43" s="15"/>
      <c r="L43" s="16"/>
      <c r="M43" s="16"/>
      <c r="N43" s="16"/>
      <c r="O43" s="16"/>
      <c r="P43" s="395"/>
    </row>
    <row r="44" spans="1:16" ht="19.5">
      <c r="A44" s="417"/>
      <c r="B44" s="76"/>
      <c r="C44" s="77" t="s">
        <v>14</v>
      </c>
      <c r="D44" s="78" t="s">
        <v>15</v>
      </c>
      <c r="E44" s="76"/>
      <c r="F44" s="76"/>
      <c r="G44" s="79"/>
      <c r="H44" s="80" t="s">
        <v>12</v>
      </c>
      <c r="I44" s="81"/>
      <c r="J44" s="81"/>
      <c r="K44" s="82"/>
      <c r="L44" s="83">
        <f t="shared" ref="L44:N44" ca="1" si="15">L45+L46</f>
        <v>536469900</v>
      </c>
      <c r="M44" s="83">
        <f t="shared" ca="1" si="15"/>
        <v>536469900</v>
      </c>
      <c r="N44" s="83">
        <f t="shared" ca="1" si="15"/>
        <v>203397530.07999998</v>
      </c>
      <c r="O44" s="83">
        <f t="shared" ref="O44:O55" ca="1" si="16">IF(L44&gt;0,N44*100/L44,0)</f>
        <v>37.914061922206635</v>
      </c>
      <c r="P44" s="418">
        <f t="shared" ref="P44:P55" ca="1" si="17">IF(M44&gt;0,N44*100/M44,0)</f>
        <v>37.914061922206635</v>
      </c>
    </row>
    <row r="45" spans="1:16" ht="18.75">
      <c r="A45" s="417"/>
      <c r="B45" s="76"/>
      <c r="C45" s="76"/>
      <c r="D45" s="76"/>
      <c r="E45" s="84" t="s">
        <v>16</v>
      </c>
      <c r="F45" s="76"/>
      <c r="G45" s="79"/>
      <c r="H45" s="85" t="s">
        <v>12</v>
      </c>
      <c r="I45" s="81"/>
      <c r="J45" s="81"/>
      <c r="K45" s="82"/>
      <c r="L45" s="86">
        <f t="shared" ref="L45:N45" ca="1" si="18">L48+L51+L54</f>
        <v>511930173</v>
      </c>
      <c r="M45" s="86">
        <f t="shared" ca="1" si="18"/>
        <v>498164036</v>
      </c>
      <c r="N45" s="86">
        <f t="shared" ca="1" si="18"/>
        <v>182934586.59999999</v>
      </c>
      <c r="O45" s="86">
        <f t="shared" ca="1" si="16"/>
        <v>35.734284917798739</v>
      </c>
      <c r="P45" s="419">
        <f t="shared" ca="1" si="17"/>
        <v>36.721756967618596</v>
      </c>
    </row>
    <row r="46" spans="1:16" ht="18.75">
      <c r="A46" s="417"/>
      <c r="B46" s="76"/>
      <c r="C46" s="76"/>
      <c r="D46" s="76"/>
      <c r="E46" s="84" t="s">
        <v>17</v>
      </c>
      <c r="F46" s="76"/>
      <c r="G46" s="79"/>
      <c r="H46" s="85" t="s">
        <v>12</v>
      </c>
      <c r="I46" s="81"/>
      <c r="J46" s="81"/>
      <c r="K46" s="82"/>
      <c r="L46" s="86">
        <f t="shared" ref="L46:N46" ca="1" si="19">L49+L52+L55</f>
        <v>24539727</v>
      </c>
      <c r="M46" s="86">
        <f t="shared" ca="1" si="19"/>
        <v>38305864</v>
      </c>
      <c r="N46" s="86">
        <f t="shared" ca="1" si="19"/>
        <v>20462943.48</v>
      </c>
      <c r="O46" s="86">
        <f t="shared" ca="1" si="16"/>
        <v>83.387005405561354</v>
      </c>
      <c r="P46" s="419">
        <f t="shared" ca="1" si="17"/>
        <v>53.419871902641326</v>
      </c>
    </row>
    <row r="47" spans="1:16" ht="18.75">
      <c r="A47" s="403"/>
      <c r="B47" s="42"/>
      <c r="C47" s="42"/>
      <c r="D47" s="43" t="s">
        <v>18</v>
      </c>
      <c r="E47" s="42"/>
      <c r="F47" s="42"/>
      <c r="G47" s="44"/>
      <c r="H47" s="45" t="s">
        <v>12</v>
      </c>
      <c r="I47" s="46"/>
      <c r="J47" s="46"/>
      <c r="K47" s="47"/>
      <c r="L47" s="48">
        <f t="shared" ref="L47:N47" ca="1" si="20">L48+L49</f>
        <v>34054500</v>
      </c>
      <c r="M47" s="48">
        <f t="shared" ca="1" si="20"/>
        <v>34054500</v>
      </c>
      <c r="N47" s="48">
        <f t="shared" ca="1" si="20"/>
        <v>9940946.129999999</v>
      </c>
      <c r="O47" s="48">
        <f t="shared" ca="1" si="16"/>
        <v>29.191284940316255</v>
      </c>
      <c r="P47" s="404">
        <f t="shared" ca="1" si="17"/>
        <v>29.191284940316255</v>
      </c>
    </row>
    <row r="48" spans="1:16" ht="18.75">
      <c r="A48" s="403"/>
      <c r="B48" s="42"/>
      <c r="C48" s="42"/>
      <c r="D48" s="42"/>
      <c r="E48" s="49" t="s">
        <v>16</v>
      </c>
      <c r="F48" s="42"/>
      <c r="G48" s="44"/>
      <c r="H48" s="45" t="s">
        <v>12</v>
      </c>
      <c r="I48" s="46"/>
      <c r="J48" s="46"/>
      <c r="K48" s="47"/>
      <c r="L48" s="48">
        <f ca="1">IFERROR(__xludf.DUMMYFUNCTION("IMPORTRANGE(""https://docs.google.com/spreadsheets/d/1-uDff_7J0KD5mKrp0Vvzr7lt3OU09vwQwhkpOPPYv2Y/edit?usp=sharing"",""งบพรบ!P9"")"),9514773)</f>
        <v>9514773</v>
      </c>
      <c r="M48" s="48">
        <f ca="1">IFERROR(__xludf.DUMMYFUNCTION("IMPORTRANGE(""https://docs.google.com/spreadsheets/d/1-uDff_7J0KD5mKrp0Vvzr7lt3OU09vwQwhkpOPPYv2Y/edit?usp=sharing"",""งบพรบ!V9"")"),9483056)</f>
        <v>9483056</v>
      </c>
      <c r="N48" s="48">
        <f ca="1">IFERROR(__xludf.DUMMYFUNCTION("IMPORTRANGE(""https://docs.google.com/spreadsheets/d/1-uDff_7J0KD5mKrp0Vvzr7lt3OU09vwQwhkpOPPYv2Y/edit?usp=sharing"",""งบพรบ!Y9"")"),1797704.13)</f>
        <v>1797704.13</v>
      </c>
      <c r="O48" s="48">
        <f t="shared" ca="1" si="16"/>
        <v>18.893820483158137</v>
      </c>
      <c r="P48" s="404">
        <f t="shared" ca="1" si="17"/>
        <v>18.957012697172726</v>
      </c>
    </row>
    <row r="49" spans="1:16" ht="18.75">
      <c r="A49" s="403"/>
      <c r="B49" s="42"/>
      <c r="C49" s="42"/>
      <c r="D49" s="42"/>
      <c r="E49" s="49" t="s">
        <v>17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IFERROR(__xludf.DUMMYFUNCTION("IMPORTRANGE(""https://docs.google.com/spreadsheets/d/1-uDff_7J0KD5mKrp0Vvzr7lt3OU09vwQwhkpOPPYv2Y/edit?usp=sharing"",""งบพรบ!P8"")"),24539727)</f>
        <v>24539727</v>
      </c>
      <c r="M49" s="48">
        <f ca="1">IFERROR(__xludf.DUMMYFUNCTION("IMPORTRANGE(""https://docs.google.com/spreadsheets/d/1-uDff_7J0KD5mKrp0Vvzr7lt3OU09vwQwhkpOPPYv2Y/edit?usp=sharing"",""งบพรบ!V8"")"),24571444)</f>
        <v>24571444</v>
      </c>
      <c r="N49" s="48">
        <f ca="1">IFERROR(__xludf.DUMMYFUNCTION("IMPORTRANGE(""https://docs.google.com/spreadsheets/d/1-uDff_7J0KD5mKrp0Vvzr7lt3OU09vwQwhkpOPPYv2Y/edit?usp=sharing"",""งบพรบ!Y8"")"),8143242)</f>
        <v>8143242</v>
      </c>
      <c r="O49" s="48">
        <f t="shared" ca="1" si="16"/>
        <v>33.183914393179677</v>
      </c>
      <c r="P49" s="404">
        <f t="shared" ca="1" si="17"/>
        <v>33.141080353275129</v>
      </c>
    </row>
    <row r="50" spans="1:16" ht="18.75">
      <c r="A50" s="403"/>
      <c r="B50" s="42"/>
      <c r="C50" s="42"/>
      <c r="D50" s="43" t="s">
        <v>19</v>
      </c>
      <c r="E50" s="42"/>
      <c r="F50" s="42"/>
      <c r="G50" s="44"/>
      <c r="H50" s="45" t="s">
        <v>12</v>
      </c>
      <c r="I50" s="46"/>
      <c r="J50" s="46"/>
      <c r="K50" s="47"/>
      <c r="L50" s="48">
        <f t="shared" ref="L50:N50" ca="1" si="21">L51+L52</f>
        <v>0</v>
      </c>
      <c r="M50" s="48">
        <f t="shared" ca="1" si="21"/>
        <v>0</v>
      </c>
      <c r="N50" s="48">
        <f t="shared" ca="1" si="21"/>
        <v>0</v>
      </c>
      <c r="O50" s="48">
        <f t="shared" ca="1" si="16"/>
        <v>0</v>
      </c>
      <c r="P50" s="404">
        <f t="shared" ca="1" si="17"/>
        <v>0</v>
      </c>
    </row>
    <row r="51" spans="1:16" ht="18.75">
      <c r="A51" s="403"/>
      <c r="B51" s="42"/>
      <c r="C51" s="42"/>
      <c r="D51" s="42"/>
      <c r="E51" s="49" t="s">
        <v>16</v>
      </c>
      <c r="F51" s="42"/>
      <c r="G51" s="44"/>
      <c r="H51" s="45" t="s">
        <v>12</v>
      </c>
      <c r="I51" s="46"/>
      <c r="J51" s="46"/>
      <c r="K51" s="47"/>
      <c r="L51" s="48">
        <f ca="1">IFERROR(__xludf.DUMMYFUNCTION("IMPORTRANGE(""https://docs.google.com/spreadsheets/d/1-uDff_7J0KD5mKrp0Vvzr7lt3OU09vwQwhkpOPPYv2Y/edit?usp=sharing"",""งบพรบ!S9"")"),0)</f>
        <v>0</v>
      </c>
      <c r="M51" s="48">
        <f ca="1">IFERROR(__xludf.DUMMYFUNCTION("IMPORTRANGE(""https://docs.google.com/spreadsheets/d/1-uDff_7J0KD5mKrp0Vvzr7lt3OU09vwQwhkpOPPYv2Y/edit?usp=sharing"",""งบพรบ!W9"")"),0)</f>
        <v>0</v>
      </c>
      <c r="N51" s="48">
        <f ca="1">IFERROR(__xludf.DUMMYFUNCTION("IMPORTRANGE(""https://docs.google.com/spreadsheets/d/1-uDff_7J0KD5mKrp0Vvzr7lt3OU09vwQwhkpOPPYv2Y/edit?usp=sharing"",""งบพรบ!Z9"")"),0)</f>
        <v>0</v>
      </c>
      <c r="O51" s="48">
        <f t="shared" ca="1" si="16"/>
        <v>0</v>
      </c>
      <c r="P51" s="404">
        <f t="shared" ca="1" si="17"/>
        <v>0</v>
      </c>
    </row>
    <row r="52" spans="1:16" ht="18.75">
      <c r="A52" s="403"/>
      <c r="B52" s="42"/>
      <c r="C52" s="42"/>
      <c r="D52" s="42"/>
      <c r="E52" s="49" t="s">
        <v>17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IFERROR(__xludf.DUMMYFUNCTION("IMPORTRANGE(""https://docs.google.com/spreadsheets/d/1-uDff_7J0KD5mKrp0Vvzr7lt3OU09vwQwhkpOPPYv2Y/edit?usp=sharing"",""งบพรบ!S8"")"),0)</f>
        <v>0</v>
      </c>
      <c r="M52" s="48">
        <f ca="1">IFERROR(__xludf.DUMMYFUNCTION("IMPORTRANGE(""https://docs.google.com/spreadsheets/d/1-uDff_7J0KD5mKrp0Vvzr7lt3OU09vwQwhkpOPPYv2Y/edit?usp=sharing"",""งบพรบ!W8"")"),0)</f>
        <v>0</v>
      </c>
      <c r="N52" s="48">
        <f ca="1">IFERROR(__xludf.DUMMYFUNCTION("IMPORTRANGE(""https://docs.google.com/spreadsheets/d/1-uDff_7J0KD5mKrp0Vvzr7lt3OU09vwQwhkpOPPYv2Y/edit?usp=sharing"",""งบพรบ!Z8"")"),0)</f>
        <v>0</v>
      </c>
      <c r="O52" s="48">
        <f t="shared" ca="1" si="16"/>
        <v>0</v>
      </c>
      <c r="P52" s="404">
        <f t="shared" ca="1" si="17"/>
        <v>0</v>
      </c>
    </row>
    <row r="53" spans="1:16" ht="18.75">
      <c r="A53" s="405"/>
      <c r="B53" s="50"/>
      <c r="C53" s="50"/>
      <c r="D53" s="51" t="s">
        <v>20</v>
      </c>
      <c r="E53" s="50"/>
      <c r="F53" s="50"/>
      <c r="G53" s="52"/>
      <c r="H53" s="53" t="s">
        <v>12</v>
      </c>
      <c r="I53" s="54"/>
      <c r="J53" s="54"/>
      <c r="K53" s="55"/>
      <c r="L53" s="56">
        <f t="shared" ref="L53:N53" ca="1" si="22">L54+L55</f>
        <v>502415400</v>
      </c>
      <c r="M53" s="56">
        <f t="shared" ca="1" si="22"/>
        <v>502415400</v>
      </c>
      <c r="N53" s="56">
        <f t="shared" ca="1" si="22"/>
        <v>193456583.94999999</v>
      </c>
      <c r="O53" s="56">
        <f t="shared" ca="1" si="16"/>
        <v>38.505305360862742</v>
      </c>
      <c r="P53" s="406">
        <f t="shared" ca="1" si="17"/>
        <v>38.505305360862742</v>
      </c>
    </row>
    <row r="54" spans="1:16" ht="18.75">
      <c r="A54" s="403"/>
      <c r="B54" s="42"/>
      <c r="C54" s="42"/>
      <c r="D54" s="42"/>
      <c r="E54" s="49" t="s">
        <v>16</v>
      </c>
      <c r="F54" s="42"/>
      <c r="G54" s="44"/>
      <c r="H54" s="45" t="s">
        <v>12</v>
      </c>
      <c r="I54" s="46"/>
      <c r="J54" s="46"/>
      <c r="K54" s="47"/>
      <c r="L54" s="48">
        <f ca="1">IFERROR(__xludf.DUMMYFUNCTION("IMPORTRANGE(""https://docs.google.com/spreadsheets/d/1-uDff_7J0KD5mKrp0Vvzr7lt3OU09vwQwhkpOPPYv2Y/edit?usp=sharing"",""งบพรบ!U9"")"),502415400)</f>
        <v>502415400</v>
      </c>
      <c r="M54" s="48">
        <f ca="1">IFERROR(__xludf.DUMMYFUNCTION("IMPORTRANGE(""https://docs.google.com/spreadsheets/d/1-uDff_7J0KD5mKrp0Vvzr7lt3OU09vwQwhkpOPPYv2Y/edit?usp=sharing"",""งบพรบ!X9"")"),488680980)</f>
        <v>488680980</v>
      </c>
      <c r="N54" s="48">
        <f ca="1">IFERROR(__xludf.DUMMYFUNCTION("IMPORTRANGE(""https://docs.google.com/spreadsheets/d/1-uDff_7J0KD5mKrp0Vvzr7lt3OU09vwQwhkpOPPYv2Y/edit?usp=sharing"",""งบพรบ!AB9"")"),181136882.47)</f>
        <v>181136882.47</v>
      </c>
      <c r="O54" s="48">
        <f t="shared" ca="1" si="16"/>
        <v>36.053210644020865</v>
      </c>
      <c r="P54" s="404">
        <f t="shared" ca="1" si="17"/>
        <v>37.066489158223426</v>
      </c>
    </row>
    <row r="55" spans="1:16" ht="18.75">
      <c r="A55" s="407"/>
      <c r="B55" s="57"/>
      <c r="C55" s="57"/>
      <c r="D55" s="57"/>
      <c r="E55" s="58" t="s">
        <v>17</v>
      </c>
      <c r="F55" s="57"/>
      <c r="G55" s="59"/>
      <c r="H55" s="60" t="s">
        <v>12</v>
      </c>
      <c r="I55" s="61"/>
      <c r="J55" s="61"/>
      <c r="K55" s="62"/>
      <c r="L55" s="63">
        <f ca="1">IFERROR(__xludf.DUMMYFUNCTION("IMPORTRANGE(""https://docs.google.com/spreadsheets/d/1-uDff_7J0KD5mKrp0Vvzr7lt3OU09vwQwhkpOPPYv2Y/edit?usp=sharing"",""งบพรบ!U8"")"),0)</f>
        <v>0</v>
      </c>
      <c r="M55" s="63">
        <f ca="1">IFERROR(__xludf.DUMMYFUNCTION("IMPORTRANGE(""https://docs.google.com/spreadsheets/d/1-uDff_7J0KD5mKrp0Vvzr7lt3OU09vwQwhkpOPPYv2Y/edit?usp=sharing"",""งบพรบ!X8"")"),13734420)</f>
        <v>13734420</v>
      </c>
      <c r="N55" s="63">
        <f ca="1">IFERROR(__xludf.DUMMYFUNCTION("IMPORTRANGE(""https://docs.google.com/spreadsheets/d/1-uDff_7J0KD5mKrp0Vvzr7lt3OU09vwQwhkpOPPYv2Y/edit?usp=sharing"",""งบพรบ!AB8"")"),12319701.48)</f>
        <v>12319701.48</v>
      </c>
      <c r="O55" s="63">
        <f t="shared" ca="1" si="16"/>
        <v>0</v>
      </c>
      <c r="P55" s="408">
        <f t="shared" ca="1" si="17"/>
        <v>89.699466595604335</v>
      </c>
    </row>
    <row r="56" spans="1:16" ht="19.5">
      <c r="A56" s="540" t="s">
        <v>24</v>
      </c>
      <c r="B56" s="534"/>
      <c r="C56" s="534"/>
      <c r="D56" s="534"/>
      <c r="E56" s="534"/>
      <c r="F56" s="534"/>
      <c r="G56" s="534"/>
      <c r="H56" s="87"/>
      <c r="I56" s="88"/>
      <c r="J56" s="88"/>
      <c r="K56" s="89"/>
      <c r="L56" s="89"/>
      <c r="M56" s="89"/>
      <c r="N56" s="89"/>
      <c r="O56" s="89"/>
      <c r="P56" s="420"/>
    </row>
    <row r="57" spans="1:16" ht="19.5">
      <c r="A57" s="421"/>
      <c r="B57" s="541" t="s">
        <v>25</v>
      </c>
      <c r="C57" s="542"/>
      <c r="D57" s="542"/>
      <c r="E57" s="542"/>
      <c r="F57" s="542"/>
      <c r="G57" s="543"/>
      <c r="H57" s="90"/>
      <c r="I57" s="91"/>
      <c r="J57" s="91"/>
      <c r="K57" s="92"/>
      <c r="L57" s="92"/>
      <c r="M57" s="92"/>
      <c r="N57" s="92"/>
      <c r="O57" s="92"/>
      <c r="P57" s="422"/>
    </row>
    <row r="58" spans="1:16" ht="19.5">
      <c r="A58" s="423"/>
      <c r="B58" s="93" t="s">
        <v>26</v>
      </c>
      <c r="C58" s="94"/>
      <c r="D58" s="94"/>
      <c r="E58" s="94"/>
      <c r="F58" s="94"/>
      <c r="G58" s="95"/>
      <c r="H58" s="95"/>
      <c r="I58" s="96"/>
      <c r="J58" s="96"/>
      <c r="K58" s="97"/>
      <c r="L58" s="97"/>
      <c r="M58" s="97"/>
      <c r="N58" s="97"/>
      <c r="O58" s="97"/>
      <c r="P58" s="424"/>
    </row>
    <row r="59" spans="1:16" ht="19.5">
      <c r="A59" s="425"/>
      <c r="B59" s="98"/>
      <c r="C59" s="99" t="s">
        <v>14</v>
      </c>
      <c r="D59" s="100" t="s">
        <v>15</v>
      </c>
      <c r="E59" s="98"/>
      <c r="F59" s="98"/>
      <c r="G59" s="101"/>
      <c r="H59" s="102" t="s">
        <v>12</v>
      </c>
      <c r="I59" s="103"/>
      <c r="J59" s="103"/>
      <c r="K59" s="104"/>
      <c r="L59" s="105">
        <f t="shared" ref="L59:N59" ca="1" si="23">L60+L61</f>
        <v>77308800</v>
      </c>
      <c r="M59" s="105">
        <f t="shared" ca="1" si="23"/>
        <v>61148600</v>
      </c>
      <c r="N59" s="105">
        <f t="shared" ca="1" si="23"/>
        <v>36530151.389999896</v>
      </c>
      <c r="O59" s="105">
        <f t="shared" ref="O59:O67" ca="1" si="24">IF(L59&gt;0,N59*100/L59,0)</f>
        <v>47.252255099031281</v>
      </c>
      <c r="P59" s="426">
        <f t="shared" ref="P59:P67" ca="1" si="25">IF(M59&gt;0,N59*100/M59,0)</f>
        <v>59.73996361323055</v>
      </c>
    </row>
    <row r="60" spans="1:16" ht="18.75">
      <c r="A60" s="425"/>
      <c r="B60" s="98"/>
      <c r="C60" s="98"/>
      <c r="D60" s="98"/>
      <c r="E60" s="106" t="s">
        <v>16</v>
      </c>
      <c r="F60" s="98"/>
      <c r="G60" s="101"/>
      <c r="H60" s="107" t="s">
        <v>12</v>
      </c>
      <c r="I60" s="103"/>
      <c r="J60" s="103"/>
      <c r="K60" s="104"/>
      <c r="L60" s="108">
        <f t="shared" ref="L60:N60" ca="1" si="26">L63+L66</f>
        <v>42256000</v>
      </c>
      <c r="M60" s="108">
        <f t="shared" ca="1" si="26"/>
        <v>34193370</v>
      </c>
      <c r="N60" s="108">
        <f t="shared" ca="1" si="26"/>
        <v>22021577.59</v>
      </c>
      <c r="O60" s="108">
        <f t="shared" ca="1" si="24"/>
        <v>52.114676235327529</v>
      </c>
      <c r="P60" s="427">
        <f t="shared" ca="1" si="25"/>
        <v>64.403062903714954</v>
      </c>
    </row>
    <row r="61" spans="1:16" ht="18.75">
      <c r="A61" s="425"/>
      <c r="B61" s="98"/>
      <c r="C61" s="98"/>
      <c r="D61" s="98"/>
      <c r="E61" s="106" t="s">
        <v>17</v>
      </c>
      <c r="F61" s="98"/>
      <c r="G61" s="101"/>
      <c r="H61" s="107" t="s">
        <v>12</v>
      </c>
      <c r="I61" s="103"/>
      <c r="J61" s="103"/>
      <c r="K61" s="104"/>
      <c r="L61" s="108">
        <f t="shared" ref="L61:N61" ca="1" si="27">L64+L67</f>
        <v>35052800</v>
      </c>
      <c r="M61" s="108">
        <f t="shared" ca="1" si="27"/>
        <v>26955230</v>
      </c>
      <c r="N61" s="108">
        <f t="shared" ca="1" si="27"/>
        <v>14508573.7999999</v>
      </c>
      <c r="O61" s="108">
        <f t="shared" ca="1" si="24"/>
        <v>41.390627282271033</v>
      </c>
      <c r="P61" s="427">
        <f t="shared" ca="1" si="25"/>
        <v>53.824707858177803</v>
      </c>
    </row>
    <row r="62" spans="1:16" ht="18.75">
      <c r="A62" s="403"/>
      <c r="B62" s="42"/>
      <c r="C62" s="42"/>
      <c r="D62" s="43" t="s">
        <v>18</v>
      </c>
      <c r="E62" s="42"/>
      <c r="F62" s="42"/>
      <c r="G62" s="44"/>
      <c r="H62" s="45" t="s">
        <v>12</v>
      </c>
      <c r="I62" s="46"/>
      <c r="J62" s="46"/>
      <c r="K62" s="47"/>
      <c r="L62" s="48">
        <f t="shared" ref="L62:N62" ca="1" si="28">L63+L64</f>
        <v>77308800</v>
      </c>
      <c r="M62" s="48">
        <f t="shared" ca="1" si="28"/>
        <v>61148600</v>
      </c>
      <c r="N62" s="48">
        <f t="shared" ca="1" si="28"/>
        <v>36530151.389999896</v>
      </c>
      <c r="O62" s="48">
        <f t="shared" ca="1" si="24"/>
        <v>47.252255099031281</v>
      </c>
      <c r="P62" s="404">
        <f t="shared" ca="1" si="25"/>
        <v>59.73996361323055</v>
      </c>
    </row>
    <row r="63" spans="1:16" ht="18.75">
      <c r="A63" s="403"/>
      <c r="B63" s="42"/>
      <c r="C63" s="42"/>
      <c r="D63" s="42"/>
      <c r="E63" s="49" t="s">
        <v>16</v>
      </c>
      <c r="F63" s="42"/>
      <c r="G63" s="44"/>
      <c r="H63" s="45" t="s">
        <v>12</v>
      </c>
      <c r="I63" s="46"/>
      <c r="J63" s="46"/>
      <c r="K63" s="47"/>
      <c r="L63" s="48">
        <f ca="1">IFERROR(__xludf.DUMMYFUNCTION("IMPORTRANGE(""https://docs.google.com/spreadsheets/d/1-uDff_7J0KD5mKrp0Vvzr7lt3OU09vwQwhkpOPPYv2Y/edit?usp=sharing"",""งบพรบ!AC9"")"),42256000)</f>
        <v>42256000</v>
      </c>
      <c r="M63" s="48">
        <f ca="1">IFERROR(__xludf.DUMMYFUNCTION("IMPORTRANGE(""https://docs.google.com/spreadsheets/d/1-uDff_7J0KD5mKrp0Vvzr7lt3OU09vwQwhkpOPPYv2Y/edit?usp=sharing"",""งบพรบ!AH9"")"),34193370)</f>
        <v>34193370</v>
      </c>
      <c r="N63" s="48">
        <f ca="1">IFERROR(__xludf.DUMMYFUNCTION("IMPORTRANGE(""https://docs.google.com/spreadsheets/d/1-uDff_7J0KD5mKrp0Vvzr7lt3OU09vwQwhkpOPPYv2Y/edit?usp=sharing"",""งบพรบ!AJ9"")"),22021577.59)</f>
        <v>22021577.59</v>
      </c>
      <c r="O63" s="48">
        <f t="shared" ca="1" si="24"/>
        <v>52.114676235327529</v>
      </c>
      <c r="P63" s="404">
        <f t="shared" ca="1" si="25"/>
        <v>64.403062903714954</v>
      </c>
    </row>
    <row r="64" spans="1:16" ht="18.75">
      <c r="A64" s="403"/>
      <c r="B64" s="42"/>
      <c r="C64" s="42"/>
      <c r="D64" s="42"/>
      <c r="E64" s="49" t="s">
        <v>17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IFERROR(__xludf.DUMMYFUNCTION("IMPORTRANGE(""https://docs.google.com/spreadsheets/d/1-uDff_7J0KD5mKrp0Vvzr7lt3OU09vwQwhkpOPPYv2Y/edit?usp=sharing"",""งบพรบ!AC8"")"),35052800)</f>
        <v>35052800</v>
      </c>
      <c r="M64" s="48">
        <f ca="1">IFERROR(__xludf.DUMMYFUNCTION("IMPORTRANGE(""https://docs.google.com/spreadsheets/d/1-uDff_7J0KD5mKrp0Vvzr7lt3OU09vwQwhkpOPPYv2Y/edit?usp=sharing"",""งบพรบ!AH8"")"),26955230)</f>
        <v>26955230</v>
      </c>
      <c r="N64" s="48">
        <f ca="1">IFERROR(__xludf.DUMMYFUNCTION("IMPORTRANGE(""https://docs.google.com/spreadsheets/d/1-uDff_7J0KD5mKrp0Vvzr7lt3OU09vwQwhkpOPPYv2Y/edit?usp=sharing"",""งบพรบ!AJ8"")"),14508573.7999999)</f>
        <v>14508573.7999999</v>
      </c>
      <c r="O64" s="48">
        <f t="shared" ca="1" si="24"/>
        <v>41.390627282271033</v>
      </c>
      <c r="P64" s="404">
        <f t="shared" ca="1" si="25"/>
        <v>53.824707858177803</v>
      </c>
    </row>
    <row r="65" spans="1:16" ht="18.75">
      <c r="A65" s="403"/>
      <c r="B65" s="42"/>
      <c r="C65" s="42"/>
      <c r="D65" s="43" t="s">
        <v>19</v>
      </c>
      <c r="E65" s="42"/>
      <c r="F65" s="42"/>
      <c r="G65" s="44"/>
      <c r="H65" s="45" t="s">
        <v>12</v>
      </c>
      <c r="I65" s="46"/>
      <c r="J65" s="46"/>
      <c r="K65" s="47"/>
      <c r="L65" s="48">
        <f t="shared" ref="L65:N65" ca="1" si="29">L66+L67</f>
        <v>0</v>
      </c>
      <c r="M65" s="48">
        <f t="shared" ca="1" si="29"/>
        <v>0</v>
      </c>
      <c r="N65" s="48">
        <f t="shared" ca="1" si="29"/>
        <v>0</v>
      </c>
      <c r="O65" s="48">
        <f t="shared" ca="1" si="24"/>
        <v>0</v>
      </c>
      <c r="P65" s="404">
        <f t="shared" ca="1" si="25"/>
        <v>0</v>
      </c>
    </row>
    <row r="66" spans="1:16" ht="18.75">
      <c r="A66" s="403"/>
      <c r="B66" s="42"/>
      <c r="C66" s="42"/>
      <c r="D66" s="42"/>
      <c r="E66" s="49" t="s">
        <v>16</v>
      </c>
      <c r="F66" s="42"/>
      <c r="G66" s="44"/>
      <c r="H66" s="45" t="s">
        <v>12</v>
      </c>
      <c r="I66" s="46"/>
      <c r="J66" s="46"/>
      <c r="K66" s="47"/>
      <c r="L66" s="48">
        <f ca="1">IFERROR(__xludf.DUMMYFUNCTION("IMPORTRANGE(""https://docs.google.com/spreadsheets/d/1-uDff_7J0KD5mKrp0Vvzr7lt3OU09vwQwhkpOPPYv2Y/edit?usp=sharing"",""งบพรบ!AF9"")"),0)</f>
        <v>0</v>
      </c>
      <c r="M66" s="48">
        <f ca="1">IFERROR(__xludf.DUMMYFUNCTION("IMPORTRANGE(""https://docs.google.com/spreadsheets/d/1-uDff_7J0KD5mKrp0Vvzr7lt3OU09vwQwhkpOPPYv2Y/edit?usp=sharing"",""งบพรบ!AI9"")"),0)</f>
        <v>0</v>
      </c>
      <c r="N66" s="48">
        <f ca="1">IFERROR(__xludf.DUMMYFUNCTION("IMPORTRANGE(""https://docs.google.com/spreadsheets/d/1-uDff_7J0KD5mKrp0Vvzr7lt3OU09vwQwhkpOPPYv2Y/edit?usp=sharing"",""งบพรบ!AK9"")"),0)</f>
        <v>0</v>
      </c>
      <c r="O66" s="48">
        <f t="shared" ca="1" si="24"/>
        <v>0</v>
      </c>
      <c r="P66" s="404">
        <f t="shared" ca="1" si="25"/>
        <v>0</v>
      </c>
    </row>
    <row r="67" spans="1:16" ht="18.75">
      <c r="A67" s="428"/>
      <c r="B67" s="429"/>
      <c r="C67" s="429"/>
      <c r="D67" s="429"/>
      <c r="E67" s="430" t="s">
        <v>17</v>
      </c>
      <c r="F67" s="429"/>
      <c r="G67" s="109"/>
      <c r="H67" s="110" t="s">
        <v>12</v>
      </c>
      <c r="I67" s="111"/>
      <c r="J67" s="111"/>
      <c r="K67" s="112"/>
      <c r="L67" s="113">
        <f ca="1">IFERROR(__xludf.DUMMYFUNCTION("IMPORTRANGE(""https://docs.google.com/spreadsheets/d/1-uDff_7J0KD5mKrp0Vvzr7lt3OU09vwQwhkpOPPYv2Y/edit?usp=sharing"",""งบพรบ!AF8"")"),0)</f>
        <v>0</v>
      </c>
      <c r="M67" s="113">
        <f ca="1">IFERROR(__xludf.DUMMYFUNCTION("IMPORTRANGE(""https://docs.google.com/spreadsheets/d/1-uDff_7J0KD5mKrp0Vvzr7lt3OU09vwQwhkpOPPYv2Y/edit?usp=sharing"",""งบพรบ!AI8"")"),0)</f>
        <v>0</v>
      </c>
      <c r="N67" s="113">
        <f ca="1">IFERROR(__xludf.DUMMYFUNCTION("IMPORTRANGE(""https://docs.google.com/spreadsheets/d/1-uDff_7J0KD5mKrp0Vvzr7lt3OU09vwQwhkpOPPYv2Y/edit?usp=sharing"",""งบพรบ!AK8"")"),0)</f>
        <v>0</v>
      </c>
      <c r="O67" s="113">
        <f t="shared" ca="1" si="24"/>
        <v>0</v>
      </c>
      <c r="P67" s="431">
        <f t="shared" ca="1" si="25"/>
        <v>0</v>
      </c>
    </row>
    <row r="68" spans="1:16" ht="19.5">
      <c r="A68" s="432" t="s">
        <v>27</v>
      </c>
      <c r="B68" s="114"/>
      <c r="C68" s="114"/>
      <c r="D68" s="114"/>
      <c r="E68" s="115"/>
      <c r="F68" s="115"/>
      <c r="G68" s="115"/>
      <c r="H68" s="115"/>
      <c r="I68" s="116"/>
      <c r="J68" s="116"/>
      <c r="K68" s="117"/>
      <c r="L68" s="117"/>
      <c r="M68" s="117"/>
      <c r="N68" s="117"/>
      <c r="O68" s="117"/>
      <c r="P68" s="433"/>
    </row>
    <row r="69" spans="1:16" ht="19.5">
      <c r="A69" s="434" t="s">
        <v>28</v>
      </c>
      <c r="B69" s="118"/>
      <c r="C69" s="119"/>
      <c r="D69" s="118"/>
      <c r="E69" s="118"/>
      <c r="F69" s="118"/>
      <c r="G69" s="120"/>
      <c r="H69" s="120"/>
      <c r="I69" s="121"/>
      <c r="J69" s="121"/>
      <c r="K69" s="122"/>
      <c r="L69" s="122"/>
      <c r="M69" s="122"/>
      <c r="N69" s="122"/>
      <c r="O69" s="122"/>
      <c r="P69" s="435"/>
    </row>
    <row r="70" spans="1:16" ht="19.5">
      <c r="A70" s="436"/>
      <c r="B70" s="32" t="s">
        <v>29</v>
      </c>
      <c r="C70" s="31"/>
      <c r="D70" s="123"/>
      <c r="E70" s="31"/>
      <c r="F70" s="31"/>
      <c r="G70" s="34"/>
      <c r="H70" s="124" t="s">
        <v>30</v>
      </c>
      <c r="I70" s="125">
        <f t="shared" ref="I70:J70" ca="1" si="30">I82</f>
        <v>13</v>
      </c>
      <c r="J70" s="125">
        <f t="shared" ca="1" si="30"/>
        <v>1</v>
      </c>
      <c r="K70" s="38">
        <f t="shared" ref="K70:K71" ca="1" si="31">IF(I70&gt;0,J70*100/I70,0)</f>
        <v>7.6923076923076925</v>
      </c>
      <c r="L70" s="37"/>
      <c r="M70" s="37"/>
      <c r="N70" s="37"/>
      <c r="O70" s="37"/>
      <c r="P70" s="437"/>
    </row>
    <row r="71" spans="1:16" ht="19.5">
      <c r="A71" s="436"/>
      <c r="B71" s="31"/>
      <c r="C71" s="31"/>
      <c r="D71" s="123"/>
      <c r="E71" s="31"/>
      <c r="F71" s="31"/>
      <c r="G71" s="34"/>
      <c r="H71" s="124" t="s">
        <v>31</v>
      </c>
      <c r="I71" s="125">
        <f t="shared" ref="I71:J71" ca="1" si="32">I83</f>
        <v>613</v>
      </c>
      <c r="J71" s="125">
        <f t="shared" ca="1" si="32"/>
        <v>30</v>
      </c>
      <c r="K71" s="38">
        <f t="shared" ca="1" si="31"/>
        <v>4.8939641109298533</v>
      </c>
      <c r="L71" s="37"/>
      <c r="M71" s="37"/>
      <c r="N71" s="37"/>
      <c r="O71" s="37"/>
      <c r="P71" s="437"/>
    </row>
    <row r="72" spans="1:16" ht="19.5">
      <c r="A72" s="438"/>
      <c r="B72" s="42"/>
      <c r="C72" s="126" t="s">
        <v>14</v>
      </c>
      <c r="D72" s="127" t="s">
        <v>15</v>
      </c>
      <c r="E72" s="42"/>
      <c r="F72" s="42"/>
      <c r="G72" s="44"/>
      <c r="H72" s="128" t="s">
        <v>12</v>
      </c>
      <c r="I72" s="46"/>
      <c r="J72" s="46"/>
      <c r="K72" s="47"/>
      <c r="L72" s="129">
        <f t="shared" ref="L72:N72" ca="1" si="33">L73+L74</f>
        <v>11456200</v>
      </c>
      <c r="M72" s="129">
        <f t="shared" ca="1" si="33"/>
        <v>8805600</v>
      </c>
      <c r="N72" s="129">
        <f t="shared" ca="1" si="33"/>
        <v>1702558.27</v>
      </c>
      <c r="O72" s="129">
        <f t="shared" ref="O72:O80" ca="1" si="34">IF(L72&gt;0,N72*100/L72,0)</f>
        <v>14.861457289502628</v>
      </c>
      <c r="P72" s="439">
        <f t="shared" ref="P72:P80" ca="1" si="35">IF(M72&gt;0,N72*100/M72,0)</f>
        <v>19.334949009721086</v>
      </c>
    </row>
    <row r="73" spans="1:16" ht="18.75">
      <c r="A73" s="438"/>
      <c r="B73" s="42"/>
      <c r="C73" s="42"/>
      <c r="D73" s="42"/>
      <c r="E73" s="49" t="s">
        <v>16</v>
      </c>
      <c r="F73" s="42"/>
      <c r="G73" s="44"/>
      <c r="H73" s="130" t="s">
        <v>12</v>
      </c>
      <c r="I73" s="46"/>
      <c r="J73" s="46"/>
      <c r="K73" s="47"/>
      <c r="L73" s="48">
        <f t="shared" ref="L73:N73" ca="1" si="36">L76+L79</f>
        <v>4484200</v>
      </c>
      <c r="M73" s="48">
        <f t="shared" ca="1" si="36"/>
        <v>2760700</v>
      </c>
      <c r="N73" s="48">
        <f t="shared" ca="1" si="36"/>
        <v>678005.12</v>
      </c>
      <c r="O73" s="48">
        <f t="shared" ca="1" si="34"/>
        <v>15.119867980910753</v>
      </c>
      <c r="P73" s="404">
        <f t="shared" ca="1" si="35"/>
        <v>24.559174122505162</v>
      </c>
    </row>
    <row r="74" spans="1:16" ht="18.75">
      <c r="A74" s="438"/>
      <c r="B74" s="42"/>
      <c r="C74" s="42"/>
      <c r="D74" s="42"/>
      <c r="E74" s="49" t="s">
        <v>17</v>
      </c>
      <c r="F74" s="42"/>
      <c r="G74" s="44"/>
      <c r="H74" s="130" t="s">
        <v>12</v>
      </c>
      <c r="I74" s="46"/>
      <c r="J74" s="46"/>
      <c r="K74" s="47"/>
      <c r="L74" s="48">
        <f t="shared" ref="L74:N74" ca="1" si="37">L77+L80</f>
        <v>6972000</v>
      </c>
      <c r="M74" s="48">
        <f t="shared" ca="1" si="37"/>
        <v>6044900</v>
      </c>
      <c r="N74" s="48">
        <f t="shared" ca="1" si="37"/>
        <v>1024553.15</v>
      </c>
      <c r="O74" s="48">
        <f t="shared" ca="1" si="34"/>
        <v>14.695254589787723</v>
      </c>
      <c r="P74" s="404">
        <f t="shared" ca="1" si="35"/>
        <v>16.94905043921322</v>
      </c>
    </row>
    <row r="75" spans="1:16" ht="18.75">
      <c r="A75" s="438"/>
      <c r="B75" s="42"/>
      <c r="C75" s="42"/>
      <c r="D75" s="43" t="s">
        <v>18</v>
      </c>
      <c r="E75" s="42"/>
      <c r="F75" s="42"/>
      <c r="G75" s="44"/>
      <c r="H75" s="131" t="s">
        <v>12</v>
      </c>
      <c r="I75" s="132"/>
      <c r="J75" s="132"/>
      <c r="K75" s="133"/>
      <c r="L75" s="48">
        <f t="shared" ref="L75:N75" ca="1" si="38">L76+L77</f>
        <v>11456200</v>
      </c>
      <c r="M75" s="48">
        <f t="shared" ca="1" si="38"/>
        <v>8805600</v>
      </c>
      <c r="N75" s="48">
        <f t="shared" ca="1" si="38"/>
        <v>1702558.27</v>
      </c>
      <c r="O75" s="48">
        <f t="shared" ca="1" si="34"/>
        <v>14.861457289502628</v>
      </c>
      <c r="P75" s="404">
        <f t="shared" ca="1" si="35"/>
        <v>19.334949009721086</v>
      </c>
    </row>
    <row r="76" spans="1:16" ht="18.75">
      <c r="A76" s="438"/>
      <c r="B76" s="42"/>
      <c r="C76" s="42"/>
      <c r="D76" s="42"/>
      <c r="E76" s="49" t="s">
        <v>32</v>
      </c>
      <c r="F76" s="42"/>
      <c r="G76" s="44"/>
      <c r="H76" s="131" t="s">
        <v>12</v>
      </c>
      <c r="I76" s="132"/>
      <c r="J76" s="132"/>
      <c r="K76" s="133"/>
      <c r="L76" s="48">
        <f ca="1">IFERROR(__xludf.DUMMYFUNCTION("IMPORTRANGE(""https://docs.google.com/spreadsheets/d/1-uDff_7J0KD5mKrp0Vvzr7lt3OU09vwQwhkpOPPYv2Y/edit?usp=sharing"",""งบพรบ!AM9"")"),4484200)</f>
        <v>4484200</v>
      </c>
      <c r="M76" s="48">
        <f ca="1">IFERROR(__xludf.DUMMYFUNCTION("IMPORTRANGE(""https://docs.google.com/spreadsheets/d/1-uDff_7J0KD5mKrp0Vvzr7lt3OU09vwQwhkpOPPYv2Y/edit?usp=sharing"",""งบพรบ!AR9"")"),2760700)</f>
        <v>2760700</v>
      </c>
      <c r="N76" s="48">
        <f ca="1">IFERROR(__xludf.DUMMYFUNCTION("IMPORTRANGE(""https://docs.google.com/spreadsheets/d/1-uDff_7J0KD5mKrp0Vvzr7lt3OU09vwQwhkpOPPYv2Y/edit?usp=sharing"",""งบพรบ!AT9"")"),678005.12)</f>
        <v>678005.12</v>
      </c>
      <c r="O76" s="48">
        <f t="shared" ca="1" si="34"/>
        <v>15.119867980910753</v>
      </c>
      <c r="P76" s="404">
        <f t="shared" ca="1" si="35"/>
        <v>24.559174122505162</v>
      </c>
    </row>
    <row r="77" spans="1:16" ht="18.75">
      <c r="A77" s="438"/>
      <c r="B77" s="42"/>
      <c r="C77" s="42"/>
      <c r="D77" s="42"/>
      <c r="E77" s="49" t="s">
        <v>33</v>
      </c>
      <c r="F77" s="42"/>
      <c r="G77" s="44"/>
      <c r="H77" s="131" t="s">
        <v>12</v>
      </c>
      <c r="I77" s="132"/>
      <c r="J77" s="132"/>
      <c r="K77" s="133"/>
      <c r="L77" s="48">
        <f ca="1">IFERROR(__xludf.DUMMYFUNCTION("IMPORTRANGE(""https://docs.google.com/spreadsheets/d/1-uDff_7J0KD5mKrp0Vvzr7lt3OU09vwQwhkpOPPYv2Y/edit?usp=sharing"",""งบพรบ!AM8"")"),6972000)</f>
        <v>6972000</v>
      </c>
      <c r="M77" s="48">
        <f ca="1">IFERROR(__xludf.DUMMYFUNCTION("IMPORTRANGE(""https://docs.google.com/spreadsheets/d/1-uDff_7J0KD5mKrp0Vvzr7lt3OU09vwQwhkpOPPYv2Y/edit?usp=sharing"",""งบพรบ!AR8"")"),6044900)</f>
        <v>6044900</v>
      </c>
      <c r="N77" s="48">
        <f ca="1">IFERROR(__xludf.DUMMYFUNCTION("IMPORTRANGE(""https://docs.google.com/spreadsheets/d/1-uDff_7J0KD5mKrp0Vvzr7lt3OU09vwQwhkpOPPYv2Y/edit?usp=sharing"",""งบพรบ!AT8"")"),1024553.15)</f>
        <v>1024553.15</v>
      </c>
      <c r="O77" s="48">
        <f t="shared" ca="1" si="34"/>
        <v>14.695254589787723</v>
      </c>
      <c r="P77" s="404">
        <f t="shared" ca="1" si="35"/>
        <v>16.94905043921322</v>
      </c>
    </row>
    <row r="78" spans="1:16" ht="18.75">
      <c r="A78" s="438"/>
      <c r="B78" s="42"/>
      <c r="C78" s="42"/>
      <c r="D78" s="43" t="s">
        <v>19</v>
      </c>
      <c r="E78" s="42"/>
      <c r="F78" s="42"/>
      <c r="G78" s="44"/>
      <c r="H78" s="134" t="s">
        <v>12</v>
      </c>
      <c r="I78" s="132"/>
      <c r="J78" s="132"/>
      <c r="K78" s="133"/>
      <c r="L78" s="48">
        <f t="shared" ref="L78:N78" ca="1" si="39">L79+L80</f>
        <v>0</v>
      </c>
      <c r="M78" s="48">
        <f t="shared" ca="1" si="39"/>
        <v>0</v>
      </c>
      <c r="N78" s="48">
        <f t="shared" ca="1" si="39"/>
        <v>0</v>
      </c>
      <c r="O78" s="48">
        <f t="shared" ca="1" si="34"/>
        <v>0</v>
      </c>
      <c r="P78" s="404">
        <f t="shared" ca="1" si="35"/>
        <v>0</v>
      </c>
    </row>
    <row r="79" spans="1:16" ht="18.75">
      <c r="A79" s="438"/>
      <c r="B79" s="42"/>
      <c r="C79" s="42"/>
      <c r="D79" s="42"/>
      <c r="E79" s="49" t="s">
        <v>16</v>
      </c>
      <c r="F79" s="42"/>
      <c r="G79" s="44"/>
      <c r="H79" s="131" t="s">
        <v>12</v>
      </c>
      <c r="I79" s="132"/>
      <c r="J79" s="132"/>
      <c r="K79" s="133"/>
      <c r="L79" s="48">
        <f ca="1">IFERROR(__xludf.DUMMYFUNCTION("IMPORTRANGE(""https://docs.google.com/spreadsheets/d/1-uDff_7J0KD5mKrp0Vvzr7lt3OU09vwQwhkpOPPYv2Y/edit?usp=sharing"",""งบพรบ!AP9"")"),0)</f>
        <v>0</v>
      </c>
      <c r="M79" s="47">
        <f ca="1">IFERROR(__xludf.DUMMYFUNCTION("IMPORTRANGE(""https://docs.google.com/spreadsheets/d/1-uDff_7J0KD5mKrp0Vvzr7lt3OU09vwQwhkpOPPYv2Y/edit?usp=sharing"",""งบพรบ!AS9"")"),0)</f>
        <v>0</v>
      </c>
      <c r="N79" s="47">
        <f ca="1">IFERROR(__xludf.DUMMYFUNCTION("IMPORTRANGE(""https://docs.google.com/spreadsheets/d/1-uDff_7J0KD5mKrp0Vvzr7lt3OU09vwQwhkpOPPYv2Y/edit?usp=sharing"",""งบพรบ!AU9"")"),0)</f>
        <v>0</v>
      </c>
      <c r="O79" s="48">
        <f t="shared" ca="1" si="34"/>
        <v>0</v>
      </c>
      <c r="P79" s="404">
        <f t="shared" ca="1" si="35"/>
        <v>0</v>
      </c>
    </row>
    <row r="80" spans="1:16" ht="18.75">
      <c r="A80" s="438"/>
      <c r="B80" s="42"/>
      <c r="C80" s="42"/>
      <c r="D80" s="42"/>
      <c r="E80" s="49" t="s">
        <v>17</v>
      </c>
      <c r="F80" s="42"/>
      <c r="G80" s="44"/>
      <c r="H80" s="134" t="s">
        <v>12</v>
      </c>
      <c r="I80" s="132"/>
      <c r="J80" s="132"/>
      <c r="K80" s="133"/>
      <c r="L80" s="48">
        <f ca="1">IFERROR(__xludf.DUMMYFUNCTION("IMPORTRANGE(""https://docs.google.com/spreadsheets/d/1-uDff_7J0KD5mKrp0Vvzr7lt3OU09vwQwhkpOPPYv2Y/edit?usp=sharing"",""งบพรบ!AP8"")"),0)</f>
        <v>0</v>
      </c>
      <c r="M80" s="48">
        <f ca="1">IFERROR(__xludf.DUMMYFUNCTION("IMPORTRANGE(""https://docs.google.com/spreadsheets/d/1-uDff_7J0KD5mKrp0Vvzr7lt3OU09vwQwhkpOPPYv2Y/edit?usp=sharing"",""งบพรบ!AS8"")"),0)</f>
        <v>0</v>
      </c>
      <c r="N80" s="48">
        <f ca="1">IFERROR(__xludf.DUMMYFUNCTION("IMPORTRANGE(""https://docs.google.com/spreadsheets/d/1-uDff_7J0KD5mKrp0Vvzr7lt3OU09vwQwhkpOPPYv2Y/edit?usp=sharing"",""งบพรบ!AU8"")"),0)</f>
        <v>0</v>
      </c>
      <c r="O80" s="48">
        <f t="shared" ca="1" si="34"/>
        <v>0</v>
      </c>
      <c r="P80" s="404">
        <f t="shared" ca="1" si="35"/>
        <v>0</v>
      </c>
    </row>
    <row r="81" spans="1:16" ht="19.5">
      <c r="A81" s="440"/>
      <c r="B81" s="135"/>
      <c r="C81" s="126" t="s">
        <v>14</v>
      </c>
      <c r="D81" s="136" t="s">
        <v>34</v>
      </c>
      <c r="E81" s="137"/>
      <c r="F81" s="137"/>
      <c r="G81" s="138"/>
      <c r="H81" s="139"/>
      <c r="I81" s="132"/>
      <c r="J81" s="132"/>
      <c r="K81" s="133"/>
      <c r="L81" s="133"/>
      <c r="M81" s="133"/>
      <c r="N81" s="133"/>
      <c r="O81" s="133"/>
      <c r="P81" s="441"/>
    </row>
    <row r="82" spans="1:16" ht="19.5">
      <c r="A82" s="440"/>
      <c r="B82" s="135"/>
      <c r="C82" s="135"/>
      <c r="D82" s="140" t="s">
        <v>35</v>
      </c>
      <c r="E82" s="141"/>
      <c r="F82" s="141"/>
      <c r="G82" s="139"/>
      <c r="H82" s="142" t="s">
        <v>30</v>
      </c>
      <c r="I82" s="143">
        <f t="shared" ref="I82:J82" ca="1" si="40">I84+I86+I88</f>
        <v>13</v>
      </c>
      <c r="J82" s="143">
        <f t="shared" ca="1" si="40"/>
        <v>1</v>
      </c>
      <c r="K82" s="144">
        <f t="shared" ref="K82:K90" ca="1" si="41">IF(I82&gt;0,J82*100/I82,0)</f>
        <v>7.6923076923076925</v>
      </c>
      <c r="L82" s="133"/>
      <c r="M82" s="133"/>
      <c r="N82" s="133"/>
      <c r="O82" s="133"/>
      <c r="P82" s="441"/>
    </row>
    <row r="83" spans="1:16" ht="19.5">
      <c r="A83" s="440"/>
      <c r="B83" s="135"/>
      <c r="C83" s="135"/>
      <c r="D83" s="135"/>
      <c r="E83" s="141"/>
      <c r="F83" s="141"/>
      <c r="G83" s="139"/>
      <c r="H83" s="142" t="s">
        <v>31</v>
      </c>
      <c r="I83" s="143">
        <f t="shared" ref="I83:J83" ca="1" si="42">I85+I87+I89</f>
        <v>613</v>
      </c>
      <c r="J83" s="143">
        <f t="shared" ca="1" si="42"/>
        <v>30</v>
      </c>
      <c r="K83" s="144">
        <f t="shared" ca="1" si="41"/>
        <v>4.8939641109298533</v>
      </c>
      <c r="L83" s="133"/>
      <c r="M83" s="133"/>
      <c r="N83" s="133"/>
      <c r="O83" s="133"/>
      <c r="P83" s="441"/>
    </row>
    <row r="84" spans="1:16" ht="18.75">
      <c r="A84" s="440"/>
      <c r="B84" s="135"/>
      <c r="C84" s="135"/>
      <c r="D84" s="135"/>
      <c r="E84" s="145" t="s">
        <v>36</v>
      </c>
      <c r="F84" s="141"/>
      <c r="G84" s="139"/>
      <c r="H84" s="146" t="s">
        <v>30</v>
      </c>
      <c r="I84" s="147">
        <f ca="1">IFERROR(__xludf.DUMMYFUNCTION("IMPORTRANGE(""https://docs.google.com/spreadsheets/d/1-XHdCZLVuuLs4PEabQnSVXw00PPYzJqGd1hkCriq2gk/edit?usp=sharing"",""แปลงใหญ่!X7"")"),0)</f>
        <v>0</v>
      </c>
      <c r="J84" s="386">
        <f ca="1">IFERROR(__xludf.DUMMYFUNCTION("IMPORTRANGE(""https://docs.google.com/spreadsheets/d/1-XHdCZLVuuLs4PEabQnSVXw00PPYzJqGd1hkCriq2gk/edit?usp=sharing"",""แปลงใหญ่!Z7"")"),0)</f>
        <v>0</v>
      </c>
      <c r="K84" s="148">
        <f t="shared" ca="1" si="41"/>
        <v>0</v>
      </c>
      <c r="L84" s="133"/>
      <c r="M84" s="133"/>
      <c r="N84" s="133"/>
      <c r="O84" s="133"/>
      <c r="P84" s="441"/>
    </row>
    <row r="85" spans="1:16" ht="18.75">
      <c r="A85" s="440"/>
      <c r="B85" s="135"/>
      <c r="C85" s="135"/>
      <c r="D85" s="135"/>
      <c r="E85" s="141"/>
      <c r="F85" s="141"/>
      <c r="G85" s="139"/>
      <c r="H85" s="146" t="s">
        <v>31</v>
      </c>
      <c r="I85" s="147">
        <f ca="1">IFERROR(__xludf.DUMMYFUNCTION("IMPORTRANGE(""https://docs.google.com/spreadsheets/d/1-XHdCZLVuuLs4PEabQnSVXw00PPYzJqGd1hkCriq2gk/edit?usp=sharing"",""แปลงใหญ่!Y7"")"),0)</f>
        <v>0</v>
      </c>
      <c r="J85" s="386">
        <f ca="1">IFERROR(__xludf.DUMMYFUNCTION("IMPORTRANGE(""https://docs.google.com/spreadsheets/d/1-XHdCZLVuuLs4PEabQnSVXw00PPYzJqGd1hkCriq2gk/edit?usp=sharing"",""แปลงใหญ่!AA7"")"),0)</f>
        <v>0</v>
      </c>
      <c r="K85" s="148">
        <f t="shared" ca="1" si="41"/>
        <v>0</v>
      </c>
      <c r="L85" s="133"/>
      <c r="M85" s="133"/>
      <c r="N85" s="133"/>
      <c r="O85" s="133"/>
      <c r="P85" s="441"/>
    </row>
    <row r="86" spans="1:16" ht="18.75">
      <c r="A86" s="440"/>
      <c r="B86" s="135"/>
      <c r="C86" s="135"/>
      <c r="D86" s="135"/>
      <c r="E86" s="145" t="s">
        <v>37</v>
      </c>
      <c r="F86" s="141"/>
      <c r="G86" s="139"/>
      <c r="H86" s="146" t="s">
        <v>30</v>
      </c>
      <c r="I86" s="147">
        <f ca="1">IFERROR(__xludf.DUMMYFUNCTION("IMPORTRANGE(""https://docs.google.com/spreadsheets/d/1-XHdCZLVuuLs4PEabQnSVXw00PPYzJqGd1hkCriq2gk/edit?usp=sharing"",""แปลงใหญ่!AB7"")"),0)</f>
        <v>0</v>
      </c>
      <c r="J86" s="386">
        <f ca="1">IFERROR(__xludf.DUMMYFUNCTION("IMPORTRANGE(""https://docs.google.com/spreadsheets/d/1-XHdCZLVuuLs4PEabQnSVXw00PPYzJqGd1hkCriq2gk/edit?usp=sharing"",""แปลงใหญ่!AD7"")"),0)</f>
        <v>0</v>
      </c>
      <c r="K86" s="148">
        <f t="shared" ca="1" si="41"/>
        <v>0</v>
      </c>
      <c r="L86" s="133"/>
      <c r="M86" s="133"/>
      <c r="N86" s="133"/>
      <c r="O86" s="133"/>
      <c r="P86" s="441"/>
    </row>
    <row r="87" spans="1:16" ht="18.75">
      <c r="A87" s="440"/>
      <c r="B87" s="135"/>
      <c r="C87" s="135"/>
      <c r="D87" s="135"/>
      <c r="E87" s="141"/>
      <c r="F87" s="141"/>
      <c r="G87" s="139"/>
      <c r="H87" s="146" t="s">
        <v>31</v>
      </c>
      <c r="I87" s="147">
        <f ca="1">IFERROR(__xludf.DUMMYFUNCTION("IMPORTRANGE(""https://docs.google.com/spreadsheets/d/1-XHdCZLVuuLs4PEabQnSVXw00PPYzJqGd1hkCriq2gk/edit?usp=sharing"",""แปลงใหญ่!AC7"")"),0)</f>
        <v>0</v>
      </c>
      <c r="J87" s="386">
        <f ca="1">IFERROR(__xludf.DUMMYFUNCTION("IMPORTRANGE(""https://docs.google.com/spreadsheets/d/1-XHdCZLVuuLs4PEabQnSVXw00PPYzJqGd1hkCriq2gk/edit?usp=sharing"",""แปลงใหญ่!AE7"")"),0)</f>
        <v>0</v>
      </c>
      <c r="K87" s="148">
        <f t="shared" ca="1" si="41"/>
        <v>0</v>
      </c>
      <c r="L87" s="133"/>
      <c r="M87" s="133"/>
      <c r="N87" s="133"/>
      <c r="O87" s="133"/>
      <c r="P87" s="441"/>
    </row>
    <row r="88" spans="1:16" ht="18.75">
      <c r="A88" s="440"/>
      <c r="B88" s="135"/>
      <c r="C88" s="135"/>
      <c r="D88" s="135"/>
      <c r="E88" s="145" t="s">
        <v>38</v>
      </c>
      <c r="F88" s="141"/>
      <c r="G88" s="139"/>
      <c r="H88" s="146" t="s">
        <v>30</v>
      </c>
      <c r="I88" s="147">
        <f ca="1">IFERROR(__xludf.DUMMYFUNCTION("IMPORTRANGE(""https://docs.google.com/spreadsheets/d/1-XHdCZLVuuLs4PEabQnSVXw00PPYzJqGd1hkCriq2gk/edit?usp=sharing"",""แปลงใหญ่!AF7"")"),13)</f>
        <v>13</v>
      </c>
      <c r="J88" s="386">
        <f ca="1">IFERROR(__xludf.DUMMYFUNCTION("IMPORTRANGE(""https://docs.google.com/spreadsheets/d/1-XHdCZLVuuLs4PEabQnSVXw00PPYzJqGd1hkCriq2gk/edit?usp=sharing"",""แปลงใหญ่!AH7"")"),1)</f>
        <v>1</v>
      </c>
      <c r="K88" s="148">
        <f t="shared" ca="1" si="41"/>
        <v>7.6923076923076925</v>
      </c>
      <c r="L88" s="133"/>
      <c r="M88" s="133"/>
      <c r="N88" s="133"/>
      <c r="O88" s="133"/>
      <c r="P88" s="441"/>
    </row>
    <row r="89" spans="1:16" ht="18.75">
      <c r="A89" s="440"/>
      <c r="B89" s="135"/>
      <c r="C89" s="135"/>
      <c r="D89" s="135"/>
      <c r="E89" s="141"/>
      <c r="F89" s="141"/>
      <c r="G89" s="139"/>
      <c r="H89" s="146" t="s">
        <v>31</v>
      </c>
      <c r="I89" s="147">
        <f ca="1">IFERROR(__xludf.DUMMYFUNCTION("IMPORTRANGE(""https://docs.google.com/spreadsheets/d/1-XHdCZLVuuLs4PEabQnSVXw00PPYzJqGd1hkCriq2gk/edit?usp=sharing"",""แปลงใหญ่!AG7"")"),613)</f>
        <v>613</v>
      </c>
      <c r="J89" s="386">
        <f ca="1">IFERROR(__xludf.DUMMYFUNCTION("IMPORTRANGE(""https://docs.google.com/spreadsheets/d/1-XHdCZLVuuLs4PEabQnSVXw00PPYzJqGd1hkCriq2gk/edit?usp=sharing"",""แปลงใหญ่!AI7"")"),30)</f>
        <v>30</v>
      </c>
      <c r="K89" s="148">
        <f t="shared" ca="1" si="41"/>
        <v>4.8939641109298533</v>
      </c>
      <c r="L89" s="133"/>
      <c r="M89" s="133"/>
      <c r="N89" s="133"/>
      <c r="O89" s="133"/>
      <c r="P89" s="441"/>
    </row>
    <row r="90" spans="1:16" ht="18.75">
      <c r="A90" s="440"/>
      <c r="B90" s="135"/>
      <c r="C90" s="135"/>
      <c r="D90" s="140" t="s">
        <v>39</v>
      </c>
      <c r="E90" s="141"/>
      <c r="F90" s="141"/>
      <c r="G90" s="139"/>
      <c r="H90" s="149" t="s">
        <v>30</v>
      </c>
      <c r="I90" s="147">
        <f ca="1">IFERROR(__xludf.DUMMYFUNCTION("IMPORTRANGE(""https://docs.google.com/spreadsheets/d/1-XHdCZLVuuLs4PEabQnSVXw00PPYzJqGd1hkCriq2gk/edit?usp=sharing"",""แปลงใหญ่!AJ7"")"),13)</f>
        <v>13</v>
      </c>
      <c r="J90" s="386">
        <f ca="1">IFERROR(__xludf.DUMMYFUNCTION("IMPORTRANGE(""https://docs.google.com/spreadsheets/d/1-XHdCZLVuuLs4PEabQnSVXw00PPYzJqGd1hkCriq2gk/edit?usp=sharing"",""แปลงใหญ่!AK7"")"),1)</f>
        <v>1</v>
      </c>
      <c r="K90" s="148">
        <f t="shared" ca="1" si="41"/>
        <v>7.6923076923076925</v>
      </c>
      <c r="L90" s="133"/>
      <c r="M90" s="133"/>
      <c r="N90" s="133"/>
      <c r="O90" s="133"/>
      <c r="P90" s="441"/>
    </row>
    <row r="91" spans="1:16" ht="19.5">
      <c r="A91" s="434" t="s">
        <v>40</v>
      </c>
      <c r="B91" s="118"/>
      <c r="C91" s="119"/>
      <c r="D91" s="118"/>
      <c r="E91" s="118"/>
      <c r="F91" s="118"/>
      <c r="G91" s="120"/>
      <c r="H91" s="120"/>
      <c r="I91" s="121"/>
      <c r="J91" s="121"/>
      <c r="K91" s="122"/>
      <c r="L91" s="122"/>
      <c r="M91" s="122"/>
      <c r="N91" s="122"/>
      <c r="O91" s="122"/>
      <c r="P91" s="435"/>
    </row>
    <row r="92" spans="1:16" ht="19.5">
      <c r="A92" s="436"/>
      <c r="B92" s="32" t="s">
        <v>41</v>
      </c>
      <c r="C92" s="31"/>
      <c r="D92" s="123"/>
      <c r="E92" s="31"/>
      <c r="F92" s="31"/>
      <c r="G92" s="34"/>
      <c r="H92" s="124" t="s">
        <v>42</v>
      </c>
      <c r="I92" s="125">
        <f t="shared" ref="I92:J92" ca="1" si="43">I108</f>
        <v>372</v>
      </c>
      <c r="J92" s="125">
        <f t="shared" ca="1" si="43"/>
        <v>0</v>
      </c>
      <c r="K92" s="38">
        <f t="shared" ref="K92:K93" ca="1" si="44">IF(I92&gt;0,J92*100/I92,0)</f>
        <v>0</v>
      </c>
      <c r="L92" s="37"/>
      <c r="M92" s="37"/>
      <c r="N92" s="37"/>
      <c r="O92" s="37"/>
      <c r="P92" s="437"/>
    </row>
    <row r="93" spans="1:16" ht="19.5">
      <c r="A93" s="436"/>
      <c r="B93" s="31"/>
      <c r="C93" s="31"/>
      <c r="D93" s="123"/>
      <c r="E93" s="31"/>
      <c r="F93" s="31"/>
      <c r="G93" s="34"/>
      <c r="H93" s="124" t="s">
        <v>31</v>
      </c>
      <c r="I93" s="125">
        <f t="shared" ref="I93:J93" ca="1" si="45">I109</f>
        <v>124</v>
      </c>
      <c r="J93" s="125">
        <f t="shared" ca="1" si="45"/>
        <v>0</v>
      </c>
      <c r="K93" s="38">
        <f t="shared" ca="1" si="44"/>
        <v>0</v>
      </c>
      <c r="L93" s="37"/>
      <c r="M93" s="37"/>
      <c r="N93" s="37"/>
      <c r="O93" s="37"/>
      <c r="P93" s="437"/>
    </row>
    <row r="94" spans="1:16" ht="19.5">
      <c r="A94" s="438"/>
      <c r="B94" s="42"/>
      <c r="C94" s="126" t="s">
        <v>14</v>
      </c>
      <c r="D94" s="127" t="s">
        <v>15</v>
      </c>
      <c r="E94" s="42"/>
      <c r="F94" s="42"/>
      <c r="G94" s="44"/>
      <c r="H94" s="128" t="s">
        <v>12</v>
      </c>
      <c r="I94" s="46"/>
      <c r="J94" s="46"/>
      <c r="K94" s="47"/>
      <c r="L94" s="129">
        <f t="shared" ref="L94:N94" ca="1" si="46">L95+L96</f>
        <v>1756000</v>
      </c>
      <c r="M94" s="129">
        <f t="shared" ca="1" si="46"/>
        <v>1437600</v>
      </c>
      <c r="N94" s="129">
        <f t="shared" ca="1" si="46"/>
        <v>336694.49</v>
      </c>
      <c r="O94" s="129">
        <f t="shared" ref="O94:O102" ca="1" si="47">IF(L94&gt;0,N94*100/L94,0)</f>
        <v>19.17394589977221</v>
      </c>
      <c r="P94" s="439">
        <f t="shared" ref="P94:P102" ca="1" si="48">IF(M94&gt;0,N94*100/M94,0)</f>
        <v>23.420596132442959</v>
      </c>
    </row>
    <row r="95" spans="1:16" ht="18.75">
      <c r="A95" s="438"/>
      <c r="B95" s="42"/>
      <c r="C95" s="42"/>
      <c r="D95" s="42"/>
      <c r="E95" s="49" t="s">
        <v>16</v>
      </c>
      <c r="F95" s="42"/>
      <c r="G95" s="44"/>
      <c r="H95" s="130" t="s">
        <v>12</v>
      </c>
      <c r="I95" s="46"/>
      <c r="J95" s="46"/>
      <c r="K95" s="47"/>
      <c r="L95" s="48">
        <f t="shared" ref="L95:N95" ca="1" si="49">L98+L101</f>
        <v>717100</v>
      </c>
      <c r="M95" s="48">
        <f t="shared" ca="1" si="49"/>
        <v>538100</v>
      </c>
      <c r="N95" s="48">
        <f t="shared" ca="1" si="49"/>
        <v>153032.81</v>
      </c>
      <c r="O95" s="48">
        <f t="shared" ca="1" si="47"/>
        <v>21.340511783572722</v>
      </c>
      <c r="P95" s="404">
        <f t="shared" ca="1" si="48"/>
        <v>28.439474075450661</v>
      </c>
    </row>
    <row r="96" spans="1:16" ht="18.75">
      <c r="A96" s="438"/>
      <c r="B96" s="42"/>
      <c r="C96" s="42"/>
      <c r="D96" s="42"/>
      <c r="E96" s="49" t="s">
        <v>17</v>
      </c>
      <c r="F96" s="42"/>
      <c r="G96" s="44"/>
      <c r="H96" s="130" t="s">
        <v>12</v>
      </c>
      <c r="I96" s="46"/>
      <c r="J96" s="46"/>
      <c r="K96" s="47"/>
      <c r="L96" s="48">
        <f t="shared" ref="L96:N96" ca="1" si="50">L99+L102</f>
        <v>1038900</v>
      </c>
      <c r="M96" s="48">
        <f t="shared" ca="1" si="50"/>
        <v>899500</v>
      </c>
      <c r="N96" s="48">
        <f t="shared" ca="1" si="50"/>
        <v>183661.68</v>
      </c>
      <c r="O96" s="48">
        <f t="shared" ca="1" si="47"/>
        <v>17.678475310424488</v>
      </c>
      <c r="P96" s="404">
        <f t="shared" ca="1" si="48"/>
        <v>20.418196775986658</v>
      </c>
    </row>
    <row r="97" spans="1:16" ht="18.75">
      <c r="A97" s="438"/>
      <c r="B97" s="42"/>
      <c r="C97" s="42"/>
      <c r="D97" s="43" t="s">
        <v>18</v>
      </c>
      <c r="E97" s="42"/>
      <c r="F97" s="42"/>
      <c r="G97" s="44"/>
      <c r="H97" s="131" t="s">
        <v>12</v>
      </c>
      <c r="I97" s="132"/>
      <c r="J97" s="132"/>
      <c r="K97" s="133"/>
      <c r="L97" s="48">
        <f t="shared" ref="L97:N97" ca="1" si="51">L98+L99</f>
        <v>1756000</v>
      </c>
      <c r="M97" s="48">
        <f t="shared" ca="1" si="51"/>
        <v>1437600</v>
      </c>
      <c r="N97" s="48">
        <f t="shared" ca="1" si="51"/>
        <v>336694.49</v>
      </c>
      <c r="O97" s="48">
        <f t="shared" ca="1" si="47"/>
        <v>19.17394589977221</v>
      </c>
      <c r="P97" s="404">
        <f t="shared" ca="1" si="48"/>
        <v>23.420596132442959</v>
      </c>
    </row>
    <row r="98" spans="1:16" ht="18.75">
      <c r="A98" s="438"/>
      <c r="B98" s="42"/>
      <c r="C98" s="42"/>
      <c r="D98" s="42"/>
      <c r="E98" s="49" t="s">
        <v>32</v>
      </c>
      <c r="F98" s="42"/>
      <c r="G98" s="44"/>
      <c r="H98" s="131" t="s">
        <v>12</v>
      </c>
      <c r="I98" s="132"/>
      <c r="J98" s="132"/>
      <c r="K98" s="133"/>
      <c r="L98" s="48">
        <f ca="1">IFERROR(__xludf.DUMMYFUNCTION("IMPORTRANGE(""https://docs.google.com/spreadsheets/d/1-uDff_7J0KD5mKrp0Vvzr7lt3OU09vwQwhkpOPPYv2Y/edit?usp=sharing"",""งบพรบ!AW9"")"),717100)</f>
        <v>717100</v>
      </c>
      <c r="M98" s="48">
        <f ca="1">IFERROR(__xludf.DUMMYFUNCTION("IMPORTRANGE(""https://docs.google.com/spreadsheets/d/1-uDff_7J0KD5mKrp0Vvzr7lt3OU09vwQwhkpOPPYv2Y/edit?usp=sharing"",""งบพรบ!BB9"")"),538100)</f>
        <v>538100</v>
      </c>
      <c r="N98" s="48">
        <f ca="1">IFERROR(__xludf.DUMMYFUNCTION("IMPORTRANGE(""https://docs.google.com/spreadsheets/d/1-uDff_7J0KD5mKrp0Vvzr7lt3OU09vwQwhkpOPPYv2Y/edit?usp=sharing"",""งบพรบ!BD9"")"),153032.81)</f>
        <v>153032.81</v>
      </c>
      <c r="O98" s="48">
        <f t="shared" ca="1" si="47"/>
        <v>21.340511783572722</v>
      </c>
      <c r="P98" s="404">
        <f t="shared" ca="1" si="48"/>
        <v>28.439474075450661</v>
      </c>
    </row>
    <row r="99" spans="1:16" ht="18.75">
      <c r="A99" s="438"/>
      <c r="B99" s="42"/>
      <c r="C99" s="42"/>
      <c r="D99" s="42"/>
      <c r="E99" s="49" t="s">
        <v>33</v>
      </c>
      <c r="F99" s="42"/>
      <c r="G99" s="44"/>
      <c r="H99" s="131" t="s">
        <v>12</v>
      </c>
      <c r="I99" s="132"/>
      <c r="J99" s="132"/>
      <c r="K99" s="133"/>
      <c r="L99" s="48">
        <f ca="1">IFERROR(__xludf.DUMMYFUNCTION("IMPORTRANGE(""https://docs.google.com/spreadsheets/d/1-uDff_7J0KD5mKrp0Vvzr7lt3OU09vwQwhkpOPPYv2Y/edit?usp=sharing"",""งบพรบ!AW8"")"),1038900)</f>
        <v>1038900</v>
      </c>
      <c r="M99" s="48">
        <f ca="1">IFERROR(__xludf.DUMMYFUNCTION("IMPORTRANGE(""https://docs.google.com/spreadsheets/d/1-uDff_7J0KD5mKrp0Vvzr7lt3OU09vwQwhkpOPPYv2Y/edit?usp=sharing"",""งบพรบ!BB8"")"),899500)</f>
        <v>899500</v>
      </c>
      <c r="N99" s="48">
        <f ca="1">IFERROR(__xludf.DUMMYFUNCTION("IMPORTRANGE(""https://docs.google.com/spreadsheets/d/1-uDff_7J0KD5mKrp0Vvzr7lt3OU09vwQwhkpOPPYv2Y/edit?usp=sharing"",""งบพรบ!BD8"")"),183661.68)</f>
        <v>183661.68</v>
      </c>
      <c r="O99" s="48">
        <f t="shared" ca="1" si="47"/>
        <v>17.678475310424488</v>
      </c>
      <c r="P99" s="404">
        <f t="shared" ca="1" si="48"/>
        <v>20.418196775986658</v>
      </c>
    </row>
    <row r="100" spans="1:16" ht="18.75">
      <c r="A100" s="438"/>
      <c r="B100" s="42"/>
      <c r="C100" s="42"/>
      <c r="D100" s="43" t="s">
        <v>19</v>
      </c>
      <c r="E100" s="42"/>
      <c r="F100" s="42"/>
      <c r="G100" s="44"/>
      <c r="H100" s="134" t="s">
        <v>12</v>
      </c>
      <c r="I100" s="132"/>
      <c r="J100" s="132"/>
      <c r="K100" s="133"/>
      <c r="L100" s="48">
        <f t="shared" ref="L100:N100" ca="1" si="52">L101+L102</f>
        <v>0</v>
      </c>
      <c r="M100" s="48">
        <f t="shared" ca="1" si="52"/>
        <v>0</v>
      </c>
      <c r="N100" s="48">
        <f t="shared" ca="1" si="52"/>
        <v>0</v>
      </c>
      <c r="O100" s="48">
        <f t="shared" ca="1" si="47"/>
        <v>0</v>
      </c>
      <c r="P100" s="404">
        <f t="shared" ca="1" si="48"/>
        <v>0</v>
      </c>
    </row>
    <row r="101" spans="1:16" ht="18.75">
      <c r="A101" s="438"/>
      <c r="B101" s="42"/>
      <c r="C101" s="42"/>
      <c r="D101" s="42"/>
      <c r="E101" s="49" t="s">
        <v>16</v>
      </c>
      <c r="F101" s="42"/>
      <c r="G101" s="44"/>
      <c r="H101" s="131" t="s">
        <v>12</v>
      </c>
      <c r="I101" s="132"/>
      <c r="J101" s="132"/>
      <c r="K101" s="133"/>
      <c r="L101" s="48">
        <f ca="1">IFERROR(__xludf.DUMMYFUNCTION("IMPORTRANGE(""https://docs.google.com/spreadsheets/d/1-uDff_7J0KD5mKrp0Vvzr7lt3OU09vwQwhkpOPPYv2Y/edit?usp=sharing"",""งบพรบ!AZ9"")"),0)</f>
        <v>0</v>
      </c>
      <c r="M101" s="48">
        <f ca="1">IFERROR(__xludf.DUMMYFUNCTION("IMPORTRANGE(""https://docs.google.com/spreadsheets/d/1-uDff_7J0KD5mKrp0Vvzr7lt3OU09vwQwhkpOPPYv2Y/edit?usp=sharing"",""งบพรบ!BC9"")"),0)</f>
        <v>0</v>
      </c>
      <c r="N101" s="48">
        <f ca="1">IFERROR(__xludf.DUMMYFUNCTION("IMPORTRANGE(""https://docs.google.com/spreadsheets/d/1-uDff_7J0KD5mKrp0Vvzr7lt3OU09vwQwhkpOPPYv2Y/edit?usp=sharing"",""งบพรบ!BE9"")"),0)</f>
        <v>0</v>
      </c>
      <c r="O101" s="48">
        <f t="shared" ca="1" si="47"/>
        <v>0</v>
      </c>
      <c r="P101" s="404">
        <f t="shared" ca="1" si="48"/>
        <v>0</v>
      </c>
    </row>
    <row r="102" spans="1:16" ht="18.75">
      <c r="A102" s="438"/>
      <c r="B102" s="42"/>
      <c r="C102" s="42"/>
      <c r="D102" s="42"/>
      <c r="E102" s="49" t="s">
        <v>17</v>
      </c>
      <c r="F102" s="42"/>
      <c r="G102" s="44"/>
      <c r="H102" s="134" t="s">
        <v>12</v>
      </c>
      <c r="I102" s="132"/>
      <c r="J102" s="132"/>
      <c r="K102" s="133"/>
      <c r="L102" s="48">
        <f ca="1">IFERROR(__xludf.DUMMYFUNCTION("IMPORTRANGE(""https://docs.google.com/spreadsheets/d/1-uDff_7J0KD5mKrp0Vvzr7lt3OU09vwQwhkpOPPYv2Y/edit?usp=sharing"",""งบพรบ!AZ8"")"),0)</f>
        <v>0</v>
      </c>
      <c r="M102" s="48">
        <f ca="1">IFERROR(__xludf.DUMMYFUNCTION("IMPORTRANGE(""https://docs.google.com/spreadsheets/d/1-uDff_7J0KD5mKrp0Vvzr7lt3OU09vwQwhkpOPPYv2Y/edit?usp=sharing"",""งบพรบ!BC8"")"),0)</f>
        <v>0</v>
      </c>
      <c r="N102" s="48">
        <f ca="1">IFERROR(__xludf.DUMMYFUNCTION("IMPORTRANGE(""https://docs.google.com/spreadsheets/d/1-uDff_7J0KD5mKrp0Vvzr7lt3OU09vwQwhkpOPPYv2Y/edit?usp=sharing"",""งบพรบ!BE8"")"),0)</f>
        <v>0</v>
      </c>
      <c r="O102" s="48">
        <f t="shared" ca="1" si="47"/>
        <v>0</v>
      </c>
      <c r="P102" s="404">
        <f t="shared" ca="1" si="48"/>
        <v>0</v>
      </c>
    </row>
    <row r="103" spans="1:16" ht="19.5">
      <c r="A103" s="440"/>
      <c r="B103" s="135"/>
      <c r="C103" s="126" t="s">
        <v>14</v>
      </c>
      <c r="D103" s="136" t="s">
        <v>34</v>
      </c>
      <c r="E103" s="137"/>
      <c r="F103" s="137"/>
      <c r="G103" s="138"/>
      <c r="H103" s="139"/>
      <c r="I103" s="132"/>
      <c r="J103" s="46"/>
      <c r="K103" s="47"/>
      <c r="L103" s="47"/>
      <c r="M103" s="47"/>
      <c r="N103" s="47"/>
      <c r="O103" s="133"/>
      <c r="P103" s="441"/>
    </row>
    <row r="104" spans="1:16" ht="18.75" hidden="1">
      <c r="A104" s="442"/>
      <c r="B104" s="150"/>
      <c r="C104" s="150"/>
      <c r="D104" s="151"/>
      <c r="E104" s="152"/>
      <c r="F104" s="152"/>
      <c r="G104" s="153"/>
      <c r="H104" s="154"/>
      <c r="I104" s="155"/>
      <c r="J104" s="155"/>
      <c r="K104" s="156"/>
      <c r="L104" s="15"/>
      <c r="M104" s="15"/>
      <c r="N104" s="15"/>
      <c r="O104" s="15"/>
      <c r="P104" s="443"/>
    </row>
    <row r="105" spans="1:16" ht="18.75" hidden="1">
      <c r="A105" s="442"/>
      <c r="B105" s="150"/>
      <c r="C105" s="150"/>
      <c r="D105" s="151"/>
      <c r="E105" s="152"/>
      <c r="F105" s="152"/>
      <c r="G105" s="153"/>
      <c r="H105" s="154"/>
      <c r="I105" s="155"/>
      <c r="J105" s="155"/>
      <c r="K105" s="156"/>
      <c r="L105" s="15"/>
      <c r="M105" s="15"/>
      <c r="N105" s="15"/>
      <c r="O105" s="15"/>
      <c r="P105" s="443"/>
    </row>
    <row r="106" spans="1:16" ht="18.75" hidden="1">
      <c r="A106" s="442"/>
      <c r="B106" s="150"/>
      <c r="C106" s="150"/>
      <c r="D106" s="150"/>
      <c r="E106" s="152"/>
      <c r="F106" s="152"/>
      <c r="G106" s="153"/>
      <c r="H106" s="154"/>
      <c r="I106" s="155"/>
      <c r="J106" s="155"/>
      <c r="K106" s="156"/>
      <c r="L106" s="15"/>
      <c r="M106" s="15"/>
      <c r="N106" s="15"/>
      <c r="O106" s="15"/>
      <c r="P106" s="443"/>
    </row>
    <row r="107" spans="1:16" ht="19.5">
      <c r="A107" s="440"/>
      <c r="B107" s="135"/>
      <c r="C107" s="135"/>
      <c r="D107" s="157" t="s">
        <v>43</v>
      </c>
      <c r="E107" s="444"/>
      <c r="F107" s="141"/>
      <c r="G107" s="139"/>
      <c r="H107" s="44"/>
      <c r="I107" s="46"/>
      <c r="J107" s="46"/>
      <c r="K107" s="47"/>
      <c r="L107" s="47"/>
      <c r="M107" s="47"/>
      <c r="N107" s="47"/>
      <c r="O107" s="133"/>
      <c r="P107" s="441"/>
    </row>
    <row r="108" spans="1:16" ht="18.75">
      <c r="A108" s="440"/>
      <c r="B108" s="135"/>
      <c r="C108" s="135"/>
      <c r="D108" s="145" t="s">
        <v>44</v>
      </c>
      <c r="E108" s="145"/>
      <c r="F108" s="141"/>
      <c r="G108" s="139"/>
      <c r="H108" s="45" t="s">
        <v>42</v>
      </c>
      <c r="I108" s="158">
        <f ca="1">IFERROR(__xludf.DUMMYFUNCTION("IMPORTRANGE(""https://docs.google.com/spreadsheets/d/1-XHdCZLVuuLs4PEabQnSVXw00PPYzJqGd1hkCriq2gk/edit?usp=sharing"",""ทฤษฎีใหม่!R7"")"),372)</f>
        <v>372</v>
      </c>
      <c r="J108" s="386">
        <f ca="1">IFERROR(__xludf.DUMMYFUNCTION("IMPORTRANGE(""https://docs.google.com/spreadsheets/d/1-XHdCZLVuuLs4PEabQnSVXw00PPYzJqGd1hkCriq2gk/edit?usp=sharing"",""ทฤษฎีใหม่!S7"")"),0)</f>
        <v>0</v>
      </c>
      <c r="K108" s="48">
        <f t="shared" ref="K108:K109" ca="1" si="53">IF(I108&gt;0,J108*100/I108,0)</f>
        <v>0</v>
      </c>
      <c r="L108" s="47"/>
      <c r="M108" s="47"/>
      <c r="N108" s="47"/>
      <c r="O108" s="133"/>
      <c r="P108" s="441"/>
    </row>
    <row r="109" spans="1:16" ht="18.75">
      <c r="A109" s="440"/>
      <c r="B109" s="135"/>
      <c r="C109" s="135"/>
      <c r="D109" s="145" t="s">
        <v>45</v>
      </c>
      <c r="E109" s="145"/>
      <c r="F109" s="141"/>
      <c r="G109" s="139"/>
      <c r="H109" s="45" t="s">
        <v>31</v>
      </c>
      <c r="I109" s="158">
        <f ca="1">IFERROR(__xludf.DUMMYFUNCTION("IMPORTRANGE(""https://docs.google.com/spreadsheets/d/1-XHdCZLVuuLs4PEabQnSVXw00PPYzJqGd1hkCriq2gk/edit?usp=sharing"",""ทฤษฎีใหม่!U7"")"),124)</f>
        <v>124</v>
      </c>
      <c r="J109" s="386">
        <f ca="1">IFERROR(__xludf.DUMMYFUNCTION("IMPORTRANGE(""https://docs.google.com/spreadsheets/d/1-XHdCZLVuuLs4PEabQnSVXw00PPYzJqGd1hkCriq2gk/edit?usp=sharing"",""ทฤษฎีใหม่!V7"")"),0)</f>
        <v>0</v>
      </c>
      <c r="K109" s="48">
        <f t="shared" ca="1" si="53"/>
        <v>0</v>
      </c>
      <c r="L109" s="47"/>
      <c r="M109" s="47"/>
      <c r="N109" s="47"/>
      <c r="O109" s="133"/>
      <c r="P109" s="441"/>
    </row>
    <row r="110" spans="1:16" ht="19.5" hidden="1">
      <c r="A110" s="442"/>
      <c r="B110" s="150"/>
      <c r="C110" s="150"/>
      <c r="D110" s="152"/>
      <c r="E110" s="159"/>
      <c r="F110" s="152"/>
      <c r="G110" s="153"/>
      <c r="H110" s="153"/>
      <c r="I110" s="160"/>
      <c r="J110" s="390"/>
      <c r="K110" s="161"/>
      <c r="L110" s="15"/>
      <c r="M110" s="15"/>
      <c r="N110" s="15"/>
      <c r="O110" s="15"/>
      <c r="P110" s="443"/>
    </row>
    <row r="111" spans="1:16" ht="18.75" hidden="1">
      <c r="A111" s="442"/>
      <c r="B111" s="150"/>
      <c r="C111" s="150"/>
      <c r="D111" s="152"/>
      <c r="E111" s="151"/>
      <c r="F111" s="152"/>
      <c r="G111" s="153"/>
      <c r="H111" s="154"/>
      <c r="I111" s="155"/>
      <c r="J111" s="391"/>
      <c r="K111" s="156"/>
      <c r="L111" s="15"/>
      <c r="M111" s="15"/>
      <c r="N111" s="15"/>
      <c r="O111" s="15"/>
      <c r="P111" s="443"/>
    </row>
    <row r="112" spans="1:16" ht="18.75" hidden="1">
      <c r="A112" s="442"/>
      <c r="B112" s="150"/>
      <c r="C112" s="150"/>
      <c r="D112" s="152"/>
      <c r="E112" s="162"/>
      <c r="F112" s="152"/>
      <c r="G112" s="153"/>
      <c r="H112" s="154"/>
      <c r="I112" s="155"/>
      <c r="J112" s="391"/>
      <c r="K112" s="156"/>
      <c r="L112" s="15"/>
      <c r="M112" s="15"/>
      <c r="N112" s="15"/>
      <c r="O112" s="15"/>
      <c r="P112" s="443"/>
    </row>
    <row r="113" spans="1:16" ht="19.5" hidden="1">
      <c r="A113" s="442"/>
      <c r="B113" s="150"/>
      <c r="C113" s="150"/>
      <c r="D113" s="152"/>
      <c r="E113" s="159"/>
      <c r="F113" s="152"/>
      <c r="G113" s="153"/>
      <c r="H113" s="153"/>
      <c r="I113" s="160"/>
      <c r="J113" s="390"/>
      <c r="K113" s="161"/>
      <c r="L113" s="15"/>
      <c r="M113" s="15"/>
      <c r="N113" s="15"/>
      <c r="O113" s="15"/>
      <c r="P113" s="443"/>
    </row>
    <row r="114" spans="1:16" ht="18.75" hidden="1">
      <c r="A114" s="442"/>
      <c r="B114" s="150"/>
      <c r="C114" s="150"/>
      <c r="D114" s="152"/>
      <c r="E114" s="151"/>
      <c r="F114" s="152"/>
      <c r="G114" s="153"/>
      <c r="H114" s="154"/>
      <c r="I114" s="155"/>
      <c r="J114" s="391"/>
      <c r="K114" s="156"/>
      <c r="L114" s="15"/>
      <c r="M114" s="15"/>
      <c r="N114" s="15"/>
      <c r="O114" s="15"/>
      <c r="P114" s="443"/>
    </row>
    <row r="115" spans="1:16" ht="18.75" hidden="1">
      <c r="A115" s="442"/>
      <c r="B115" s="150"/>
      <c r="C115" s="150"/>
      <c r="D115" s="152"/>
      <c r="E115" s="163"/>
      <c r="F115" s="152"/>
      <c r="G115" s="153"/>
      <c r="H115" s="154"/>
      <c r="I115" s="155"/>
      <c r="J115" s="391"/>
      <c r="K115" s="156"/>
      <c r="L115" s="15"/>
      <c r="M115" s="15"/>
      <c r="N115" s="15"/>
      <c r="O115" s="15"/>
      <c r="P115" s="443"/>
    </row>
    <row r="116" spans="1:16" ht="18.75" hidden="1">
      <c r="A116" s="442"/>
      <c r="B116" s="150"/>
      <c r="C116" s="150"/>
      <c r="D116" s="152"/>
      <c r="E116" s="163"/>
      <c r="F116" s="152"/>
      <c r="G116" s="153"/>
      <c r="H116" s="154"/>
      <c r="I116" s="155"/>
      <c r="J116" s="391"/>
      <c r="K116" s="156"/>
      <c r="L116" s="15"/>
      <c r="M116" s="15"/>
      <c r="N116" s="15"/>
      <c r="O116" s="15"/>
      <c r="P116" s="443"/>
    </row>
    <row r="117" spans="1:16" ht="18.75">
      <c r="A117" s="440"/>
      <c r="B117" s="135"/>
      <c r="C117" s="135"/>
      <c r="D117" s="145" t="s">
        <v>46</v>
      </c>
      <c r="E117" s="141"/>
      <c r="F117" s="141"/>
      <c r="G117" s="139"/>
      <c r="H117" s="146" t="s">
        <v>31</v>
      </c>
      <c r="I117" s="147">
        <f ca="1">IFERROR(__xludf.DUMMYFUNCTION("IMPORTRANGE(""https://docs.google.com/spreadsheets/d/1-XHdCZLVuuLs4PEabQnSVXw00PPYzJqGd1hkCriq2gk/edit?usp=sharing"",""ทฤษฎีใหม่!X7"")"),124)</f>
        <v>124</v>
      </c>
      <c r="J117" s="386">
        <f ca="1">IFERROR(__xludf.DUMMYFUNCTION("IMPORTRANGE(""https://docs.google.com/spreadsheets/d/1-XHdCZLVuuLs4PEabQnSVXw00PPYzJqGd1hkCriq2gk/edit?usp=sharing"",""ทฤษฎีใหม่!Y7"")"),0)</f>
        <v>0</v>
      </c>
      <c r="K117" s="48">
        <f ca="1">IF(I117&gt;0,J117*100/I117,0)</f>
        <v>0</v>
      </c>
      <c r="L117" s="47"/>
      <c r="M117" s="47"/>
      <c r="N117" s="47"/>
      <c r="O117" s="133"/>
      <c r="P117" s="441"/>
    </row>
    <row r="118" spans="1:16" ht="19.5" hidden="1">
      <c r="A118" s="442"/>
      <c r="B118" s="150"/>
      <c r="C118" s="150"/>
      <c r="D118" s="150"/>
      <c r="E118" s="152"/>
      <c r="F118" s="152"/>
      <c r="G118" s="153"/>
      <c r="H118" s="164"/>
      <c r="I118" s="165"/>
      <c r="J118" s="165"/>
      <c r="K118" s="166"/>
      <c r="L118" s="15"/>
      <c r="M118" s="15"/>
      <c r="N118" s="15"/>
      <c r="O118" s="15"/>
      <c r="P118" s="443"/>
    </row>
    <row r="119" spans="1:16" ht="18.75" hidden="1">
      <c r="A119" s="442"/>
      <c r="B119" s="150"/>
      <c r="C119" s="150"/>
      <c r="D119" s="150"/>
      <c r="E119" s="151"/>
      <c r="F119" s="152"/>
      <c r="G119" s="153"/>
      <c r="H119" s="154"/>
      <c r="I119" s="155"/>
      <c r="J119" s="155"/>
      <c r="K119" s="156"/>
      <c r="L119" s="15"/>
      <c r="M119" s="15"/>
      <c r="N119" s="15"/>
      <c r="O119" s="15"/>
      <c r="P119" s="443"/>
    </row>
    <row r="120" spans="1:16" ht="18.75" hidden="1">
      <c r="A120" s="442"/>
      <c r="B120" s="150"/>
      <c r="C120" s="150"/>
      <c r="D120" s="150"/>
      <c r="E120" s="151"/>
      <c r="F120" s="152"/>
      <c r="G120" s="153"/>
      <c r="H120" s="154"/>
      <c r="I120" s="155"/>
      <c r="J120" s="155"/>
      <c r="K120" s="156"/>
      <c r="L120" s="15"/>
      <c r="M120" s="15"/>
      <c r="N120" s="15"/>
      <c r="O120" s="15"/>
      <c r="P120" s="443"/>
    </row>
    <row r="121" spans="1:16" ht="18.75" hidden="1">
      <c r="A121" s="442"/>
      <c r="B121" s="150"/>
      <c r="C121" s="150"/>
      <c r="D121" s="150"/>
      <c r="E121" s="151"/>
      <c r="F121" s="152"/>
      <c r="G121" s="153"/>
      <c r="H121" s="154"/>
      <c r="I121" s="155"/>
      <c r="J121" s="155"/>
      <c r="K121" s="156"/>
      <c r="L121" s="15"/>
      <c r="M121" s="15"/>
      <c r="N121" s="15"/>
      <c r="O121" s="15"/>
      <c r="P121" s="443"/>
    </row>
    <row r="122" spans="1:16" ht="18.75" hidden="1">
      <c r="A122" s="442"/>
      <c r="B122" s="150"/>
      <c r="C122" s="150"/>
      <c r="D122" s="150"/>
      <c r="E122" s="151"/>
      <c r="F122" s="152"/>
      <c r="G122" s="153"/>
      <c r="H122" s="154"/>
      <c r="I122" s="155"/>
      <c r="J122" s="155"/>
      <c r="K122" s="156"/>
      <c r="L122" s="15"/>
      <c r="M122" s="15"/>
      <c r="N122" s="15"/>
      <c r="O122" s="15"/>
      <c r="P122" s="443"/>
    </row>
    <row r="123" spans="1:16" ht="19.5" hidden="1">
      <c r="A123" s="445" t="s">
        <v>47</v>
      </c>
      <c r="B123" s="9"/>
      <c r="C123" s="167"/>
      <c r="D123" s="9"/>
      <c r="E123" s="9"/>
      <c r="F123" s="9"/>
      <c r="G123" s="9"/>
      <c r="H123" s="9"/>
      <c r="I123" s="168"/>
      <c r="J123" s="168"/>
      <c r="K123" s="169"/>
      <c r="L123" s="15"/>
      <c r="M123" s="15"/>
      <c r="N123" s="15"/>
      <c r="O123" s="15"/>
      <c r="P123" s="443"/>
    </row>
    <row r="124" spans="1:16" ht="19.5" hidden="1">
      <c r="A124" s="446"/>
      <c r="B124" s="10" t="s">
        <v>48</v>
      </c>
      <c r="C124" s="167"/>
      <c r="D124" s="170"/>
      <c r="E124" s="9"/>
      <c r="F124" s="9"/>
      <c r="G124" s="12"/>
      <c r="H124" s="12"/>
      <c r="I124" s="171">
        <v>0</v>
      </c>
      <c r="J124" s="171">
        <v>0</v>
      </c>
      <c r="K124" s="19">
        <v>0</v>
      </c>
      <c r="L124" s="15"/>
      <c r="M124" s="15"/>
      <c r="N124" s="15"/>
      <c r="O124" s="15"/>
      <c r="P124" s="443"/>
    </row>
    <row r="125" spans="1:16" ht="19.5" hidden="1">
      <c r="A125" s="446"/>
      <c r="B125" s="9"/>
      <c r="C125" s="10" t="s">
        <v>14</v>
      </c>
      <c r="D125" s="11" t="s">
        <v>15</v>
      </c>
      <c r="E125" s="9"/>
      <c r="F125" s="9"/>
      <c r="G125" s="12"/>
      <c r="H125" s="172" t="s">
        <v>12</v>
      </c>
      <c r="I125" s="14"/>
      <c r="J125" s="14"/>
      <c r="K125" s="15"/>
      <c r="L125" s="16">
        <f t="shared" ref="L125:N125" ca="1" si="54">L126+L127</f>
        <v>0</v>
      </c>
      <c r="M125" s="16">
        <f t="shared" ca="1" si="54"/>
        <v>0</v>
      </c>
      <c r="N125" s="16">
        <f t="shared" ca="1" si="54"/>
        <v>0</v>
      </c>
      <c r="O125" s="16">
        <f t="shared" ref="O125:O133" ca="1" si="55">IF(L125&gt;0,N125*100/L125,0)</f>
        <v>0</v>
      </c>
      <c r="P125" s="395">
        <f t="shared" ref="P125:P133" ca="1" si="56">IF(M125&gt;0,N125*100/M125,0)</f>
        <v>0</v>
      </c>
    </row>
    <row r="126" spans="1:16" ht="18.75" hidden="1">
      <c r="A126" s="447"/>
      <c r="B126" s="152"/>
      <c r="C126" s="152"/>
      <c r="D126" s="152"/>
      <c r="E126" s="151" t="s">
        <v>16</v>
      </c>
      <c r="F126" s="152"/>
      <c r="G126" s="153"/>
      <c r="H126" s="173" t="s">
        <v>12</v>
      </c>
      <c r="I126" s="160"/>
      <c r="J126" s="160"/>
      <c r="K126" s="161"/>
      <c r="L126" s="19">
        <f t="shared" ref="L126:N126" ca="1" si="57">L129+L132</f>
        <v>0</v>
      </c>
      <c r="M126" s="19">
        <f t="shared" ca="1" si="57"/>
        <v>0</v>
      </c>
      <c r="N126" s="19">
        <f t="shared" ca="1" si="57"/>
        <v>0</v>
      </c>
      <c r="O126" s="19">
        <f t="shared" ca="1" si="55"/>
        <v>0</v>
      </c>
      <c r="P126" s="396">
        <f t="shared" ca="1" si="56"/>
        <v>0</v>
      </c>
    </row>
    <row r="127" spans="1:16" ht="18.75" hidden="1">
      <c r="A127" s="446"/>
      <c r="B127" s="9"/>
      <c r="C127" s="9"/>
      <c r="D127" s="9"/>
      <c r="E127" s="17" t="s">
        <v>17</v>
      </c>
      <c r="F127" s="9"/>
      <c r="G127" s="12"/>
      <c r="H127" s="174" t="s">
        <v>12</v>
      </c>
      <c r="I127" s="14"/>
      <c r="J127" s="14"/>
      <c r="K127" s="15"/>
      <c r="L127" s="19">
        <f t="shared" ref="L127:N127" ca="1" si="58">L130+L133</f>
        <v>0</v>
      </c>
      <c r="M127" s="19">
        <f t="shared" ca="1" si="58"/>
        <v>0</v>
      </c>
      <c r="N127" s="19">
        <f t="shared" ca="1" si="58"/>
        <v>0</v>
      </c>
      <c r="O127" s="19">
        <f t="shared" ca="1" si="55"/>
        <v>0</v>
      </c>
      <c r="P127" s="396">
        <f t="shared" ca="1" si="56"/>
        <v>0</v>
      </c>
    </row>
    <row r="128" spans="1:16" ht="18.75" hidden="1">
      <c r="A128" s="446"/>
      <c r="B128" s="9"/>
      <c r="C128" s="9"/>
      <c r="D128" s="20" t="s">
        <v>18</v>
      </c>
      <c r="E128" s="9"/>
      <c r="F128" s="9"/>
      <c r="G128" s="12"/>
      <c r="H128" s="175" t="s">
        <v>12</v>
      </c>
      <c r="I128" s="14"/>
      <c r="J128" s="14"/>
      <c r="K128" s="15"/>
      <c r="L128" s="19">
        <f t="shared" ref="L128:N128" ca="1" si="59">L129+L130</f>
        <v>0</v>
      </c>
      <c r="M128" s="19">
        <f t="shared" ca="1" si="59"/>
        <v>0</v>
      </c>
      <c r="N128" s="19">
        <f t="shared" ca="1" si="59"/>
        <v>0</v>
      </c>
      <c r="O128" s="19">
        <f t="shared" ca="1" si="55"/>
        <v>0</v>
      </c>
      <c r="P128" s="396">
        <f t="shared" ca="1" si="56"/>
        <v>0</v>
      </c>
    </row>
    <row r="129" spans="1:16" ht="18.75" hidden="1">
      <c r="A129" s="447"/>
      <c r="B129" s="152"/>
      <c r="C129" s="152"/>
      <c r="D129" s="152"/>
      <c r="E129" s="151" t="s">
        <v>32</v>
      </c>
      <c r="F129" s="152"/>
      <c r="G129" s="153"/>
      <c r="H129" s="176" t="s">
        <v>12</v>
      </c>
      <c r="I129" s="160"/>
      <c r="J129" s="160"/>
      <c r="K129" s="161"/>
      <c r="L129" s="19">
        <f ca="1">IFERROR(__xludf.DUMMYFUNCTION("IMPORTRANGE(""https://docs.google.com/spreadsheets/d/1-uDff_7J0KD5mKrp0Vvzr7lt3OU09vwQwhkpOPPYv2Y/edit?usp=sharing"",""งบพรบ!BG9"")"),0)</f>
        <v>0</v>
      </c>
      <c r="M129" s="19">
        <f ca="1">IFERROR(__xludf.DUMMYFUNCTION("IMPORTRANGE(""https://docs.google.com/spreadsheets/d/1-uDff_7J0KD5mKrp0Vvzr7lt3OU09vwQwhkpOPPYv2Y/edit?usp=sharing"",""งบพรบ!BL9"")"),0)</f>
        <v>0</v>
      </c>
      <c r="N129" s="19">
        <f ca="1">IFERROR(__xludf.DUMMYFUNCTION("IMPORTRANGE(""https://docs.google.com/spreadsheets/d/1-uDff_7J0KD5mKrp0Vvzr7lt3OU09vwQwhkpOPPYv2Y/edit?usp=sharing"",""งบพรบ!BN9"")"),0)</f>
        <v>0</v>
      </c>
      <c r="O129" s="19">
        <f t="shared" ca="1" si="55"/>
        <v>0</v>
      </c>
      <c r="P129" s="396">
        <f t="shared" ca="1" si="56"/>
        <v>0</v>
      </c>
    </row>
    <row r="130" spans="1:16" ht="18.75" hidden="1">
      <c r="A130" s="446"/>
      <c r="B130" s="9"/>
      <c r="C130" s="9"/>
      <c r="D130" s="9"/>
      <c r="E130" s="17" t="s">
        <v>33</v>
      </c>
      <c r="F130" s="9"/>
      <c r="G130" s="12"/>
      <c r="H130" s="175" t="s">
        <v>12</v>
      </c>
      <c r="I130" s="14"/>
      <c r="J130" s="14"/>
      <c r="K130" s="15"/>
      <c r="L130" s="19">
        <f ca="1">IFERROR(__xludf.DUMMYFUNCTION("IMPORTRANGE(""https://docs.google.com/spreadsheets/d/1-uDff_7J0KD5mKrp0Vvzr7lt3OU09vwQwhkpOPPYv2Y/edit?usp=sharing"",""งบพรบ!BG8"")"),0)</f>
        <v>0</v>
      </c>
      <c r="M130" s="19">
        <f ca="1">IFERROR(__xludf.DUMMYFUNCTION("IMPORTRANGE(""https://docs.google.com/spreadsheets/d/1-uDff_7J0KD5mKrp0Vvzr7lt3OU09vwQwhkpOPPYv2Y/edit?usp=sharing"",""งบพรบ!BL8"")"),0)</f>
        <v>0</v>
      </c>
      <c r="N130" s="19">
        <f ca="1">IFERROR(__xludf.DUMMYFUNCTION("IMPORTRANGE(""https://docs.google.com/spreadsheets/d/1-uDff_7J0KD5mKrp0Vvzr7lt3OU09vwQwhkpOPPYv2Y/edit?usp=sharing"",""งบพรบ!BN8"")"),0)</f>
        <v>0</v>
      </c>
      <c r="O130" s="19">
        <f t="shared" ca="1" si="55"/>
        <v>0</v>
      </c>
      <c r="P130" s="396">
        <f t="shared" ca="1" si="56"/>
        <v>0</v>
      </c>
    </row>
    <row r="131" spans="1:16" ht="18.75" hidden="1">
      <c r="A131" s="446"/>
      <c r="B131" s="9"/>
      <c r="C131" s="9"/>
      <c r="D131" s="20" t="s">
        <v>19</v>
      </c>
      <c r="E131" s="9"/>
      <c r="F131" s="9"/>
      <c r="G131" s="12"/>
      <c r="H131" s="174" t="s">
        <v>12</v>
      </c>
      <c r="I131" s="14"/>
      <c r="J131" s="14"/>
      <c r="K131" s="15"/>
      <c r="L131" s="19">
        <f t="shared" ref="L131:N131" ca="1" si="60">L132+L133</f>
        <v>0</v>
      </c>
      <c r="M131" s="19">
        <f t="shared" ca="1" si="60"/>
        <v>0</v>
      </c>
      <c r="N131" s="19">
        <f t="shared" ca="1" si="60"/>
        <v>0</v>
      </c>
      <c r="O131" s="19">
        <f t="shared" ca="1" si="55"/>
        <v>0</v>
      </c>
      <c r="P131" s="396">
        <f t="shared" ca="1" si="56"/>
        <v>0</v>
      </c>
    </row>
    <row r="132" spans="1:16" ht="18.75" hidden="1">
      <c r="A132" s="447"/>
      <c r="B132" s="152"/>
      <c r="C132" s="152"/>
      <c r="D132" s="152"/>
      <c r="E132" s="151" t="s">
        <v>16</v>
      </c>
      <c r="F132" s="152"/>
      <c r="G132" s="153"/>
      <c r="H132" s="176" t="s">
        <v>12</v>
      </c>
      <c r="I132" s="160"/>
      <c r="J132" s="160"/>
      <c r="K132" s="161"/>
      <c r="L132" s="19">
        <f ca="1">IFERROR(__xludf.DUMMYFUNCTION("IMPORTRANGE(""https://docs.google.com/spreadsheets/d/1-uDff_7J0KD5mKrp0Vvzr7lt3OU09vwQwhkpOPPYv2Y/edit?usp=sharing"",""งบพรบ!BJ9"")"),0)</f>
        <v>0</v>
      </c>
      <c r="M132" s="19">
        <f ca="1">IFERROR(__xludf.DUMMYFUNCTION("IMPORTRANGE(""https://docs.google.com/spreadsheets/d/1-uDff_7J0KD5mKrp0Vvzr7lt3OU09vwQwhkpOPPYv2Y/edit?usp=sharing"",""งบพรบ!BM9"")"),0)</f>
        <v>0</v>
      </c>
      <c r="N132" s="19">
        <f ca="1">IFERROR(__xludf.DUMMYFUNCTION("IMPORTRANGE(""https://docs.google.com/spreadsheets/d/1-uDff_7J0KD5mKrp0Vvzr7lt3OU09vwQwhkpOPPYv2Y/edit?usp=sharing"",""งบพรบ!BO9"")"),0)</f>
        <v>0</v>
      </c>
      <c r="O132" s="19">
        <f t="shared" ca="1" si="55"/>
        <v>0</v>
      </c>
      <c r="P132" s="396">
        <f t="shared" ca="1" si="56"/>
        <v>0</v>
      </c>
    </row>
    <row r="133" spans="1:16" ht="18.75" hidden="1">
      <c r="A133" s="446"/>
      <c r="B133" s="9"/>
      <c r="C133" s="9"/>
      <c r="D133" s="9"/>
      <c r="E133" s="17" t="s">
        <v>17</v>
      </c>
      <c r="F133" s="9"/>
      <c r="G133" s="12"/>
      <c r="H133" s="174" t="s">
        <v>12</v>
      </c>
      <c r="I133" s="14"/>
      <c r="J133" s="14"/>
      <c r="K133" s="15"/>
      <c r="L133" s="19">
        <f ca="1">IFERROR(__xludf.DUMMYFUNCTION("IMPORTRANGE(""https://docs.google.com/spreadsheets/d/1-uDff_7J0KD5mKrp0Vvzr7lt3OU09vwQwhkpOPPYv2Y/edit?usp=sharing"",""งบพรบ!BJ8"")"),0)</f>
        <v>0</v>
      </c>
      <c r="M133" s="19">
        <f ca="1">IFERROR(__xludf.DUMMYFUNCTION("IMPORTRANGE(""https://docs.google.com/spreadsheets/d/1-uDff_7J0KD5mKrp0Vvzr7lt3OU09vwQwhkpOPPYv2Y/edit?usp=sharing"",""งบพรบ!BM8"")"),0)</f>
        <v>0</v>
      </c>
      <c r="N133" s="19">
        <f ca="1">IFERROR(__xludf.DUMMYFUNCTION("IMPORTRANGE(""https://docs.google.com/spreadsheets/d/1-uDff_7J0KD5mKrp0Vvzr7lt3OU09vwQwhkpOPPYv2Y/edit?usp=sharing"",""งบพรบ!BO8"")"),0)</f>
        <v>0</v>
      </c>
      <c r="O133" s="19">
        <f t="shared" ca="1" si="55"/>
        <v>0</v>
      </c>
      <c r="P133" s="396">
        <f t="shared" ca="1" si="56"/>
        <v>0</v>
      </c>
    </row>
    <row r="134" spans="1:16" ht="19.5">
      <c r="A134" s="434" t="s">
        <v>49</v>
      </c>
      <c r="B134" s="118"/>
      <c r="C134" s="177"/>
      <c r="D134" s="118"/>
      <c r="E134" s="118"/>
      <c r="F134" s="118"/>
      <c r="G134" s="118"/>
      <c r="H134" s="118"/>
      <c r="I134" s="178"/>
      <c r="J134" s="178"/>
      <c r="K134" s="179"/>
      <c r="L134" s="122"/>
      <c r="M134" s="122"/>
      <c r="N134" s="122"/>
      <c r="O134" s="122"/>
      <c r="P134" s="435"/>
    </row>
    <row r="135" spans="1:16" ht="19.5">
      <c r="A135" s="436"/>
      <c r="B135" s="32" t="s">
        <v>50</v>
      </c>
      <c r="C135" s="180"/>
      <c r="D135" s="123"/>
      <c r="E135" s="31"/>
      <c r="F135" s="31"/>
      <c r="G135" s="31"/>
      <c r="H135" s="31"/>
      <c r="I135" s="36"/>
      <c r="J135" s="36"/>
      <c r="K135" s="37"/>
      <c r="L135" s="37"/>
      <c r="M135" s="37"/>
      <c r="N135" s="37"/>
      <c r="O135" s="37"/>
      <c r="P135" s="437"/>
    </row>
    <row r="136" spans="1:16" ht="19.5">
      <c r="A136" s="436"/>
      <c r="B136" s="31"/>
      <c r="C136" s="181" t="s">
        <v>51</v>
      </c>
      <c r="D136" s="123"/>
      <c r="E136" s="31"/>
      <c r="F136" s="31"/>
      <c r="G136" s="34"/>
      <c r="H136" s="124" t="s">
        <v>52</v>
      </c>
      <c r="I136" s="125">
        <f t="shared" ref="I136:J136" ca="1" si="61">I154</f>
        <v>27</v>
      </c>
      <c r="J136" s="125">
        <f t="shared" ca="1" si="61"/>
        <v>0</v>
      </c>
      <c r="K136" s="38">
        <f t="shared" ref="K136:K138" ca="1" si="62">IF(I136&gt;0,J136*100/I136,0)</f>
        <v>0</v>
      </c>
      <c r="L136" s="37"/>
      <c r="M136" s="37"/>
      <c r="N136" s="37"/>
      <c r="O136" s="37"/>
      <c r="P136" s="437"/>
    </row>
    <row r="137" spans="1:16" ht="19.5">
      <c r="A137" s="436"/>
      <c r="B137" s="31"/>
      <c r="C137" s="181" t="s">
        <v>53</v>
      </c>
      <c r="D137" s="123"/>
      <c r="E137" s="31"/>
      <c r="F137" s="31"/>
      <c r="G137" s="34"/>
      <c r="H137" s="124" t="s">
        <v>31</v>
      </c>
      <c r="I137" s="125">
        <f t="shared" ref="I137:J137" ca="1" si="63">I152</f>
        <v>1070</v>
      </c>
      <c r="J137" s="125">
        <f t="shared" ca="1" si="63"/>
        <v>10</v>
      </c>
      <c r="K137" s="38">
        <f t="shared" ca="1" si="62"/>
        <v>0.93457943925233644</v>
      </c>
      <c r="L137" s="37"/>
      <c r="M137" s="37"/>
      <c r="N137" s="37"/>
      <c r="O137" s="37"/>
      <c r="P137" s="437"/>
    </row>
    <row r="138" spans="1:16" ht="19.5">
      <c r="A138" s="436"/>
      <c r="B138" s="31"/>
      <c r="C138" s="181"/>
      <c r="D138" s="123"/>
      <c r="E138" s="31"/>
      <c r="F138" s="31"/>
      <c r="G138" s="34"/>
      <c r="H138" s="124" t="s">
        <v>54</v>
      </c>
      <c r="I138" s="125">
        <f t="shared" ref="I138:J138" ca="1" si="64">I153</f>
        <v>107</v>
      </c>
      <c r="J138" s="125">
        <f t="shared" ca="1" si="64"/>
        <v>1</v>
      </c>
      <c r="K138" s="38">
        <f t="shared" ca="1" si="62"/>
        <v>0.93457943925233644</v>
      </c>
      <c r="L138" s="37"/>
      <c r="M138" s="37"/>
      <c r="N138" s="37"/>
      <c r="O138" s="37"/>
      <c r="P138" s="437"/>
    </row>
    <row r="139" spans="1:16" ht="19.5">
      <c r="A139" s="438"/>
      <c r="B139" s="42"/>
      <c r="C139" s="126" t="s">
        <v>14</v>
      </c>
      <c r="D139" s="127" t="s">
        <v>15</v>
      </c>
      <c r="E139" s="42"/>
      <c r="F139" s="42"/>
      <c r="G139" s="44"/>
      <c r="H139" s="128" t="s">
        <v>12</v>
      </c>
      <c r="I139" s="46"/>
      <c r="J139" s="46"/>
      <c r="K139" s="47"/>
      <c r="L139" s="129">
        <f t="shared" ref="L139:N139" ca="1" si="65">L140+L141</f>
        <v>3675200</v>
      </c>
      <c r="M139" s="129">
        <f t="shared" ca="1" si="65"/>
        <v>3313200</v>
      </c>
      <c r="N139" s="129">
        <f t="shared" ca="1" si="65"/>
        <v>556385.48</v>
      </c>
      <c r="O139" s="129">
        <f t="shared" ref="O139:O147" ca="1" si="66">IF(L139&gt;0,N139*100/L139,0)</f>
        <v>15.138917065737919</v>
      </c>
      <c r="P139" s="439">
        <f t="shared" ref="P139:P147" ca="1" si="67">IF(M139&gt;0,N139*100/M139,0)</f>
        <v>16.792994084268983</v>
      </c>
    </row>
    <row r="140" spans="1:16" ht="18.75">
      <c r="A140" s="438"/>
      <c r="B140" s="42"/>
      <c r="C140" s="42"/>
      <c r="D140" s="42"/>
      <c r="E140" s="49" t="s">
        <v>16</v>
      </c>
      <c r="F140" s="42"/>
      <c r="G140" s="44"/>
      <c r="H140" s="130" t="s">
        <v>12</v>
      </c>
      <c r="I140" s="46"/>
      <c r="J140" s="46"/>
      <c r="K140" s="47"/>
      <c r="L140" s="48">
        <f t="shared" ref="L140:N140" ca="1" si="68">L143+L146</f>
        <v>312000</v>
      </c>
      <c r="M140" s="48">
        <f t="shared" ca="1" si="68"/>
        <v>571500</v>
      </c>
      <c r="N140" s="48">
        <f t="shared" ca="1" si="68"/>
        <v>127327.8</v>
      </c>
      <c r="O140" s="48">
        <f t="shared" ca="1" si="66"/>
        <v>40.810192307692304</v>
      </c>
      <c r="P140" s="404">
        <f t="shared" ca="1" si="67"/>
        <v>22.27958005249344</v>
      </c>
    </row>
    <row r="141" spans="1:16" ht="18.75">
      <c r="A141" s="438"/>
      <c r="B141" s="42"/>
      <c r="C141" s="42"/>
      <c r="D141" s="42"/>
      <c r="E141" s="49" t="s">
        <v>17</v>
      </c>
      <c r="F141" s="42"/>
      <c r="G141" s="44"/>
      <c r="H141" s="130" t="s">
        <v>12</v>
      </c>
      <c r="I141" s="46"/>
      <c r="J141" s="46"/>
      <c r="K141" s="47"/>
      <c r="L141" s="48">
        <f t="shared" ref="L141:N141" ca="1" si="69">L144+L147</f>
        <v>3363200</v>
      </c>
      <c r="M141" s="48">
        <f t="shared" ca="1" si="69"/>
        <v>2741700</v>
      </c>
      <c r="N141" s="48">
        <f t="shared" ca="1" si="69"/>
        <v>429057.68</v>
      </c>
      <c r="O141" s="48">
        <f t="shared" ca="1" si="66"/>
        <v>12.757423882017127</v>
      </c>
      <c r="P141" s="404">
        <f t="shared" ca="1" si="67"/>
        <v>15.64932997775103</v>
      </c>
    </row>
    <row r="142" spans="1:16" ht="18.75">
      <c r="A142" s="438"/>
      <c r="B142" s="42"/>
      <c r="C142" s="42"/>
      <c r="D142" s="43" t="s">
        <v>18</v>
      </c>
      <c r="E142" s="42"/>
      <c r="F142" s="42"/>
      <c r="G142" s="44"/>
      <c r="H142" s="131" t="s">
        <v>12</v>
      </c>
      <c r="I142" s="132"/>
      <c r="J142" s="132"/>
      <c r="K142" s="133"/>
      <c r="L142" s="48">
        <f t="shared" ref="L142:N142" ca="1" si="70">L143+L144</f>
        <v>3675200</v>
      </c>
      <c r="M142" s="48">
        <f t="shared" ca="1" si="70"/>
        <v>3313200</v>
      </c>
      <c r="N142" s="48">
        <f t="shared" ca="1" si="70"/>
        <v>556385.48</v>
      </c>
      <c r="O142" s="48">
        <f t="shared" ca="1" si="66"/>
        <v>15.138917065737919</v>
      </c>
      <c r="P142" s="404">
        <f t="shared" ca="1" si="67"/>
        <v>16.792994084268983</v>
      </c>
    </row>
    <row r="143" spans="1:16" ht="18.75">
      <c r="A143" s="438"/>
      <c r="B143" s="42"/>
      <c r="C143" s="42"/>
      <c r="D143" s="42"/>
      <c r="E143" s="49" t="s">
        <v>32</v>
      </c>
      <c r="F143" s="42"/>
      <c r="G143" s="44"/>
      <c r="H143" s="131" t="s">
        <v>12</v>
      </c>
      <c r="I143" s="132"/>
      <c r="J143" s="132"/>
      <c r="K143" s="133"/>
      <c r="L143" s="48">
        <f ca="1">IFERROR(__xludf.DUMMYFUNCTION("IMPORTRANGE(""https://docs.google.com/spreadsheets/d/1-uDff_7J0KD5mKrp0Vvzr7lt3OU09vwQwhkpOPPYv2Y/edit?usp=sharing"",""งบพรบ!BQ9"")"),312000)</f>
        <v>312000</v>
      </c>
      <c r="M143" s="48">
        <f ca="1">IFERROR(__xludf.DUMMYFUNCTION("IMPORTRANGE(""https://docs.google.com/spreadsheets/d/1-uDff_7J0KD5mKrp0Vvzr7lt3OU09vwQwhkpOPPYv2Y/edit?usp=sharing"",""งบพรบ!BV9"")"),571500)</f>
        <v>571500</v>
      </c>
      <c r="N143" s="48">
        <f ca="1">IFERROR(__xludf.DUMMYFUNCTION("IMPORTRANGE(""https://docs.google.com/spreadsheets/d/1-uDff_7J0KD5mKrp0Vvzr7lt3OU09vwQwhkpOPPYv2Y/edit?usp=sharing"",""งบพรบ!BX9"")"),127327.8)</f>
        <v>127327.8</v>
      </c>
      <c r="O143" s="48">
        <f t="shared" ca="1" si="66"/>
        <v>40.810192307692304</v>
      </c>
      <c r="P143" s="404">
        <f t="shared" ca="1" si="67"/>
        <v>22.27958005249344</v>
      </c>
    </row>
    <row r="144" spans="1:16" ht="18.75">
      <c r="A144" s="438"/>
      <c r="B144" s="42"/>
      <c r="C144" s="42"/>
      <c r="D144" s="42"/>
      <c r="E144" s="49" t="s">
        <v>33</v>
      </c>
      <c r="F144" s="42"/>
      <c r="G144" s="44"/>
      <c r="H144" s="131" t="s">
        <v>12</v>
      </c>
      <c r="I144" s="132"/>
      <c r="J144" s="132"/>
      <c r="K144" s="133"/>
      <c r="L144" s="48">
        <f ca="1">IFERROR(__xludf.DUMMYFUNCTION("IMPORTRANGE(""https://docs.google.com/spreadsheets/d/1-uDff_7J0KD5mKrp0Vvzr7lt3OU09vwQwhkpOPPYv2Y/edit?usp=sharing"",""งบพรบ!BQ8"")"),3363200)</f>
        <v>3363200</v>
      </c>
      <c r="M144" s="48">
        <f ca="1">IFERROR(__xludf.DUMMYFUNCTION("IMPORTRANGE(""https://docs.google.com/spreadsheets/d/1-uDff_7J0KD5mKrp0Vvzr7lt3OU09vwQwhkpOPPYv2Y/edit?usp=sharing"",""งบพรบ!BV8"")"),2741700)</f>
        <v>2741700</v>
      </c>
      <c r="N144" s="48">
        <f ca="1">IFERROR(__xludf.DUMMYFUNCTION("IMPORTRANGE(""https://docs.google.com/spreadsheets/d/1-uDff_7J0KD5mKrp0Vvzr7lt3OU09vwQwhkpOPPYv2Y/edit?usp=sharing"",""งบพรบ!BX8"")"),429057.68)</f>
        <v>429057.68</v>
      </c>
      <c r="O144" s="48">
        <f t="shared" ca="1" si="66"/>
        <v>12.757423882017127</v>
      </c>
      <c r="P144" s="404">
        <f t="shared" ca="1" si="67"/>
        <v>15.64932997775103</v>
      </c>
    </row>
    <row r="145" spans="1:16" ht="18.75">
      <c r="A145" s="438"/>
      <c r="B145" s="42"/>
      <c r="C145" s="42"/>
      <c r="D145" s="43" t="s">
        <v>19</v>
      </c>
      <c r="E145" s="42"/>
      <c r="F145" s="42"/>
      <c r="G145" s="44"/>
      <c r="H145" s="134" t="s">
        <v>12</v>
      </c>
      <c r="I145" s="132"/>
      <c r="J145" s="132"/>
      <c r="K145" s="133"/>
      <c r="L145" s="48">
        <f t="shared" ref="L145:N145" ca="1" si="71">L146+L147</f>
        <v>0</v>
      </c>
      <c r="M145" s="48">
        <f t="shared" ca="1" si="71"/>
        <v>0</v>
      </c>
      <c r="N145" s="48">
        <f t="shared" ca="1" si="71"/>
        <v>0</v>
      </c>
      <c r="O145" s="48">
        <f t="shared" ca="1" si="66"/>
        <v>0</v>
      </c>
      <c r="P145" s="404">
        <f t="shared" ca="1" si="67"/>
        <v>0</v>
      </c>
    </row>
    <row r="146" spans="1:16" ht="18.75">
      <c r="A146" s="438"/>
      <c r="B146" s="42"/>
      <c r="C146" s="42"/>
      <c r="D146" s="42"/>
      <c r="E146" s="49" t="s">
        <v>16</v>
      </c>
      <c r="F146" s="42"/>
      <c r="G146" s="44"/>
      <c r="H146" s="131" t="s">
        <v>12</v>
      </c>
      <c r="I146" s="132"/>
      <c r="J146" s="132"/>
      <c r="K146" s="133"/>
      <c r="L146" s="48">
        <f ca="1">IFERROR(__xludf.DUMMYFUNCTION("IMPORTRANGE(""https://docs.google.com/spreadsheets/d/1-uDff_7J0KD5mKrp0Vvzr7lt3OU09vwQwhkpOPPYv2Y/edit?usp=sharing"",""งบพรบ!BT9"")"),0)</f>
        <v>0</v>
      </c>
      <c r="M146" s="48">
        <f ca="1">IFERROR(__xludf.DUMMYFUNCTION("IMPORTRANGE(""https://docs.google.com/spreadsheets/d/1-uDff_7J0KD5mKrp0Vvzr7lt3OU09vwQwhkpOPPYv2Y/edit?usp=sharing"",""งบพรบ!BW9"")"),0)</f>
        <v>0</v>
      </c>
      <c r="N146" s="48">
        <f ca="1">IFERROR(__xludf.DUMMYFUNCTION("IMPORTRANGE(""https://docs.google.com/spreadsheets/d/1-uDff_7J0KD5mKrp0Vvzr7lt3OU09vwQwhkpOPPYv2Y/edit?usp=sharing"",""งบพรบ!BY9"")"),0)</f>
        <v>0</v>
      </c>
      <c r="O146" s="48">
        <f t="shared" ca="1" si="66"/>
        <v>0</v>
      </c>
      <c r="P146" s="404">
        <f t="shared" ca="1" si="67"/>
        <v>0</v>
      </c>
    </row>
    <row r="147" spans="1:16" ht="18.75">
      <c r="A147" s="438"/>
      <c r="B147" s="42"/>
      <c r="C147" s="42"/>
      <c r="D147" s="42"/>
      <c r="E147" s="49" t="s">
        <v>17</v>
      </c>
      <c r="F147" s="42"/>
      <c r="G147" s="44"/>
      <c r="H147" s="134" t="s">
        <v>12</v>
      </c>
      <c r="I147" s="132"/>
      <c r="J147" s="132"/>
      <c r="K147" s="133"/>
      <c r="L147" s="48">
        <f ca="1">IFERROR(__xludf.DUMMYFUNCTION("IMPORTRANGE(""https://docs.google.com/spreadsheets/d/1-uDff_7J0KD5mKrp0Vvzr7lt3OU09vwQwhkpOPPYv2Y/edit?usp=sharing"",""งบพรบ!BT8"")"),0)</f>
        <v>0</v>
      </c>
      <c r="M147" s="48">
        <f ca="1">IFERROR(__xludf.DUMMYFUNCTION("IMPORTRANGE(""https://docs.google.com/spreadsheets/d/1-uDff_7J0KD5mKrp0Vvzr7lt3OU09vwQwhkpOPPYv2Y/edit?usp=sharing"",""งบพรบ!BW8"")"),0)</f>
        <v>0</v>
      </c>
      <c r="N147" s="48">
        <f ca="1">IFERROR(__xludf.DUMMYFUNCTION("IMPORTRANGE(""https://docs.google.com/spreadsheets/d/1-uDff_7J0KD5mKrp0Vvzr7lt3OU09vwQwhkpOPPYv2Y/edit?usp=sharing"",""งบพรบ!BY8"")"),0)</f>
        <v>0</v>
      </c>
      <c r="O147" s="48">
        <f t="shared" ca="1" si="66"/>
        <v>0</v>
      </c>
      <c r="P147" s="404">
        <f t="shared" ca="1" si="67"/>
        <v>0</v>
      </c>
    </row>
    <row r="148" spans="1:16" ht="19.5">
      <c r="A148" s="440"/>
      <c r="B148" s="135"/>
      <c r="C148" s="126" t="s">
        <v>14</v>
      </c>
      <c r="D148" s="136" t="s">
        <v>34</v>
      </c>
      <c r="E148" s="137"/>
      <c r="F148" s="137"/>
      <c r="G148" s="138"/>
      <c r="H148" s="182"/>
      <c r="I148" s="46"/>
      <c r="J148" s="46"/>
      <c r="K148" s="47"/>
      <c r="L148" s="47"/>
      <c r="M148" s="47"/>
      <c r="N148" s="47"/>
      <c r="O148" s="47"/>
      <c r="P148" s="448"/>
    </row>
    <row r="149" spans="1:16" ht="18.75">
      <c r="A149" s="438"/>
      <c r="B149" s="42"/>
      <c r="C149" s="42"/>
      <c r="D149" s="49" t="s">
        <v>55</v>
      </c>
      <c r="E149" s="42"/>
      <c r="F149" s="42"/>
      <c r="G149" s="44"/>
      <c r="H149" s="182"/>
      <c r="I149" s="46"/>
      <c r="J149" s="386">
        <f ca="1">IFERROR(__xludf.DUMMYFUNCTION("IMPORTRANGE(""https://docs.google.com/spreadsheets/d/1-XHdCZLVuuLs4PEabQnSVXw00PPYzJqGd1hkCriq2gk/edit?usp=sharing"",""สมุนไพร!R7"")"),0)</f>
        <v>0</v>
      </c>
      <c r="K149" s="47"/>
      <c r="L149" s="47"/>
      <c r="M149" s="47"/>
      <c r="N149" s="47"/>
      <c r="O149" s="47"/>
      <c r="P149" s="448"/>
    </row>
    <row r="150" spans="1:16" ht="19.5">
      <c r="A150" s="449"/>
      <c r="B150" s="50"/>
      <c r="C150" s="50"/>
      <c r="D150" s="183"/>
      <c r="E150" s="184" t="s">
        <v>146</v>
      </c>
      <c r="F150" s="50"/>
      <c r="G150" s="52"/>
      <c r="H150" s="185" t="s">
        <v>31</v>
      </c>
      <c r="I150" s="186">
        <f ca="1">IFERROR(__xludf.DUMMYFUNCTION("IMPORTRANGE(""https://docs.google.com/spreadsheets/d/1-XHdCZLVuuLs4PEabQnSVXw00PPYzJqGd1hkCriq2gk/edit?usp=sharing"",""สมุนไพร!S7"")"),270)</f>
        <v>270</v>
      </c>
      <c r="J150" s="387">
        <f ca="1">IFERROR(__xludf.DUMMYFUNCTION("IMPORTRANGE(""https://docs.google.com/spreadsheets/d/1-XHdCZLVuuLs4PEabQnSVXw00PPYzJqGd1hkCriq2gk/edit?usp=sharing"",""สมุนไพร!U7"")"),0)</f>
        <v>0</v>
      </c>
      <c r="K150" s="56">
        <f t="shared" ref="K150:K154" ca="1" si="72">IF(I150&gt;0,J150*100/I150,0)</f>
        <v>0</v>
      </c>
      <c r="L150" s="55"/>
      <c r="M150" s="55"/>
      <c r="N150" s="55"/>
      <c r="O150" s="55"/>
      <c r="P150" s="450"/>
    </row>
    <row r="151" spans="1:16" ht="18.75">
      <c r="A151" s="449"/>
      <c r="B151" s="50"/>
      <c r="C151" s="50"/>
      <c r="D151" s="183"/>
      <c r="E151" s="184"/>
      <c r="F151" s="50"/>
      <c r="G151" s="52"/>
      <c r="H151" s="185" t="s">
        <v>54</v>
      </c>
      <c r="I151" s="186">
        <f ca="1">IFERROR(__xludf.DUMMYFUNCTION("IMPORTRANGE(""https://docs.google.com/spreadsheets/d/1-XHdCZLVuuLs4PEabQnSVXw00PPYzJqGd1hkCriq2gk/edit?usp=sharing"",""สมุนไพร!T7"")"),27)</f>
        <v>27</v>
      </c>
      <c r="J151" s="387">
        <f ca="1">IFERROR(__xludf.DUMMYFUNCTION("IMPORTRANGE(""https://docs.google.com/spreadsheets/d/1-XHdCZLVuuLs4PEabQnSVXw00PPYzJqGd1hkCriq2gk/edit?usp=sharing"",""สมุนไพร!W7"")"),0)</f>
        <v>0</v>
      </c>
      <c r="K151" s="56">
        <f t="shared" ca="1" si="72"/>
        <v>0</v>
      </c>
      <c r="L151" s="55"/>
      <c r="M151" s="55"/>
      <c r="N151" s="55"/>
      <c r="O151" s="55"/>
      <c r="P151" s="450"/>
    </row>
    <row r="152" spans="1:16" ht="19.5">
      <c r="A152" s="449"/>
      <c r="B152" s="50"/>
      <c r="C152" s="50"/>
      <c r="D152" s="183"/>
      <c r="E152" s="184" t="s">
        <v>147</v>
      </c>
      <c r="F152" s="50"/>
      <c r="G152" s="52"/>
      <c r="H152" s="185" t="s">
        <v>31</v>
      </c>
      <c r="I152" s="186">
        <f ca="1">IFERROR(__xludf.DUMMYFUNCTION("IMPORTRANGE(""https://docs.google.com/spreadsheets/d/1-XHdCZLVuuLs4PEabQnSVXw00PPYzJqGd1hkCriq2gk/edit?usp=sharing"",""สมุนไพร!Y7"")"),1070)</f>
        <v>1070</v>
      </c>
      <c r="J152" s="387">
        <f ca="1">IFERROR(__xludf.DUMMYFUNCTION("IMPORTRANGE(""https://docs.google.com/spreadsheets/d/1-XHdCZLVuuLs4PEabQnSVXw00PPYzJqGd1hkCriq2gk/edit?usp=sharing"",""สมุนไพร!AA7"")"),10)</f>
        <v>10</v>
      </c>
      <c r="K152" s="56">
        <f t="shared" ca="1" si="72"/>
        <v>0.93457943925233644</v>
      </c>
      <c r="L152" s="55"/>
      <c r="M152" s="55"/>
      <c r="N152" s="55"/>
      <c r="O152" s="55"/>
      <c r="P152" s="450"/>
    </row>
    <row r="153" spans="1:16" ht="19.5">
      <c r="A153" s="449"/>
      <c r="B153" s="50"/>
      <c r="C153" s="50"/>
      <c r="D153" s="184"/>
      <c r="E153" s="187"/>
      <c r="F153" s="50"/>
      <c r="G153" s="52"/>
      <c r="H153" s="185" t="s">
        <v>54</v>
      </c>
      <c r="I153" s="186">
        <f ca="1">IFERROR(__xludf.DUMMYFUNCTION("IMPORTRANGE(""https://docs.google.com/spreadsheets/d/1-XHdCZLVuuLs4PEabQnSVXw00PPYzJqGd1hkCriq2gk/edit?usp=sharing"",""สมุนไพร!Z7"")"),107)</f>
        <v>107</v>
      </c>
      <c r="J153" s="387">
        <f ca="1">IFERROR(__xludf.DUMMYFUNCTION("IMPORTRANGE(""https://docs.google.com/spreadsheets/d/1-XHdCZLVuuLs4PEabQnSVXw00PPYzJqGd1hkCriq2gk/edit?usp=sharing"",""สมุนไพร!AC7"")"),1)</f>
        <v>1</v>
      </c>
      <c r="K153" s="56">
        <f t="shared" ca="1" si="72"/>
        <v>0.93457943925233644</v>
      </c>
      <c r="L153" s="55"/>
      <c r="M153" s="55"/>
      <c r="N153" s="55"/>
      <c r="O153" s="55"/>
      <c r="P153" s="450"/>
    </row>
    <row r="154" spans="1:16" ht="18.75">
      <c r="A154" s="451"/>
      <c r="B154" s="188"/>
      <c r="C154" s="188"/>
      <c r="D154" s="189" t="s">
        <v>56</v>
      </c>
      <c r="E154" s="188"/>
      <c r="F154" s="188"/>
      <c r="G154" s="190"/>
      <c r="H154" s="191" t="s">
        <v>52</v>
      </c>
      <c r="I154" s="192">
        <f ca="1">IFERROR(__xludf.DUMMYFUNCTION("IMPORTRANGE(""https://docs.google.com/spreadsheets/d/1-XHdCZLVuuLs4PEabQnSVXw00PPYzJqGd1hkCriq2gk/edit?usp=sharing"",""สมุนไพร!AE7"")"),27)</f>
        <v>27</v>
      </c>
      <c r="J154" s="388">
        <f ca="1">IFERROR(__xludf.DUMMYFUNCTION("IMPORTRANGE(""https://docs.google.com/spreadsheets/d/1-XHdCZLVuuLs4PEabQnSVXw00PPYzJqGd1hkCriq2gk/edit?usp=sharing"",""สมุนไพร!AF7"")"),0)</f>
        <v>0</v>
      </c>
      <c r="K154" s="56">
        <f t="shared" ca="1" si="72"/>
        <v>0</v>
      </c>
      <c r="L154" s="193"/>
      <c r="M154" s="193"/>
      <c r="N154" s="193"/>
      <c r="O154" s="193"/>
      <c r="P154" s="452"/>
    </row>
    <row r="155" spans="1:16" ht="19.5">
      <c r="A155" s="453" t="s">
        <v>57</v>
      </c>
      <c r="B155" s="194"/>
      <c r="C155" s="195"/>
      <c r="D155" s="194"/>
      <c r="E155" s="194"/>
      <c r="F155" s="194"/>
      <c r="G155" s="194"/>
      <c r="H155" s="194"/>
      <c r="I155" s="196"/>
      <c r="J155" s="196"/>
      <c r="K155" s="197"/>
      <c r="L155" s="198"/>
      <c r="M155" s="198"/>
      <c r="N155" s="198"/>
      <c r="O155" s="198"/>
      <c r="P155" s="454"/>
    </row>
    <row r="156" spans="1:16" ht="19.5">
      <c r="A156" s="436"/>
      <c r="B156" s="32" t="s">
        <v>58</v>
      </c>
      <c r="C156" s="31"/>
      <c r="D156" s="31"/>
      <c r="E156" s="31"/>
      <c r="F156" s="31"/>
      <c r="G156" s="34"/>
      <c r="H156" s="199" t="s">
        <v>31</v>
      </c>
      <c r="I156" s="125">
        <f ca="1">I167</f>
        <v>330</v>
      </c>
      <c r="J156" s="125">
        <f>J168</f>
        <v>0</v>
      </c>
      <c r="K156" s="38">
        <f ca="1">IF(I156&gt;0,J156*100/I156,0)</f>
        <v>0</v>
      </c>
      <c r="L156" s="37"/>
      <c r="M156" s="37"/>
      <c r="N156" s="37"/>
      <c r="O156" s="37"/>
      <c r="P156" s="437"/>
    </row>
    <row r="157" spans="1:16" ht="19.5">
      <c r="A157" s="438"/>
      <c r="B157" s="42"/>
      <c r="C157" s="126" t="s">
        <v>14</v>
      </c>
      <c r="D157" s="127" t="s">
        <v>15</v>
      </c>
      <c r="E157" s="42"/>
      <c r="F157" s="42"/>
      <c r="G157" s="44"/>
      <c r="H157" s="128" t="s">
        <v>12</v>
      </c>
      <c r="I157" s="46"/>
      <c r="J157" s="46"/>
      <c r="K157" s="47"/>
      <c r="L157" s="129">
        <f t="shared" ref="L157:N157" ca="1" si="73">L158+L159</f>
        <v>3408600</v>
      </c>
      <c r="M157" s="129">
        <f t="shared" ca="1" si="73"/>
        <v>2663500</v>
      </c>
      <c r="N157" s="129">
        <f t="shared" ca="1" si="73"/>
        <v>201373.45</v>
      </c>
      <c r="O157" s="129">
        <f t="shared" ref="O157:O165" ca="1" si="74">IF(L157&gt;0,N157*100/L157,0)</f>
        <v>5.9078052572903834</v>
      </c>
      <c r="P157" s="439">
        <f t="shared" ref="P157:P165" ca="1" si="75">IF(M157&gt;0,N157*100/M157,0)</f>
        <v>7.5604824479068897</v>
      </c>
    </row>
    <row r="158" spans="1:16" ht="18.75">
      <c r="A158" s="438"/>
      <c r="B158" s="42"/>
      <c r="C158" s="42"/>
      <c r="D158" s="42"/>
      <c r="E158" s="49" t="s">
        <v>16</v>
      </c>
      <c r="F158" s="42"/>
      <c r="G158" s="44"/>
      <c r="H158" s="130" t="s">
        <v>12</v>
      </c>
      <c r="I158" s="46"/>
      <c r="J158" s="46"/>
      <c r="K158" s="47"/>
      <c r="L158" s="48">
        <f t="shared" ref="L158:N158" ca="1" si="76">L161+L164</f>
        <v>3309600</v>
      </c>
      <c r="M158" s="48">
        <f t="shared" ca="1" si="76"/>
        <v>2663500</v>
      </c>
      <c r="N158" s="48">
        <f t="shared" ca="1" si="76"/>
        <v>201373.45</v>
      </c>
      <c r="O158" s="48">
        <f t="shared" ca="1" si="74"/>
        <v>6.0845253202803962</v>
      </c>
      <c r="P158" s="404">
        <f t="shared" ca="1" si="75"/>
        <v>7.5604824479068897</v>
      </c>
    </row>
    <row r="159" spans="1:16" ht="18.75">
      <c r="A159" s="438"/>
      <c r="B159" s="42"/>
      <c r="C159" s="42"/>
      <c r="D159" s="42"/>
      <c r="E159" s="49" t="s">
        <v>17</v>
      </c>
      <c r="F159" s="42"/>
      <c r="G159" s="44"/>
      <c r="H159" s="130" t="s">
        <v>12</v>
      </c>
      <c r="I159" s="46"/>
      <c r="J159" s="46"/>
      <c r="K159" s="47"/>
      <c r="L159" s="48">
        <f t="shared" ref="L159:N159" ca="1" si="77">L162+L165</f>
        <v>99000</v>
      </c>
      <c r="M159" s="48">
        <f t="shared" ca="1" si="77"/>
        <v>0</v>
      </c>
      <c r="N159" s="48">
        <f t="shared" ca="1" si="77"/>
        <v>0</v>
      </c>
      <c r="O159" s="48">
        <f t="shared" ca="1" si="74"/>
        <v>0</v>
      </c>
      <c r="P159" s="404">
        <f t="shared" ca="1" si="75"/>
        <v>0</v>
      </c>
    </row>
    <row r="160" spans="1:16" ht="18.75">
      <c r="A160" s="438"/>
      <c r="B160" s="42"/>
      <c r="C160" s="42"/>
      <c r="D160" s="43" t="s">
        <v>18</v>
      </c>
      <c r="E160" s="42"/>
      <c r="F160" s="42"/>
      <c r="G160" s="44"/>
      <c r="H160" s="131" t="s">
        <v>12</v>
      </c>
      <c r="I160" s="132"/>
      <c r="J160" s="132"/>
      <c r="K160" s="133"/>
      <c r="L160" s="48">
        <f t="shared" ref="L160:N160" ca="1" si="78">L161+L162</f>
        <v>3408600</v>
      </c>
      <c r="M160" s="48">
        <f t="shared" ca="1" si="78"/>
        <v>2663500</v>
      </c>
      <c r="N160" s="48">
        <f t="shared" ca="1" si="78"/>
        <v>201373.45</v>
      </c>
      <c r="O160" s="48">
        <f t="shared" ca="1" si="74"/>
        <v>5.9078052572903834</v>
      </c>
      <c r="P160" s="404">
        <f t="shared" ca="1" si="75"/>
        <v>7.5604824479068897</v>
      </c>
    </row>
    <row r="161" spans="1:16" ht="18.75">
      <c r="A161" s="438"/>
      <c r="B161" s="42"/>
      <c r="C161" s="42"/>
      <c r="D161" s="42"/>
      <c r="E161" s="49" t="s">
        <v>32</v>
      </c>
      <c r="F161" s="42"/>
      <c r="G161" s="44"/>
      <c r="H161" s="131" t="s">
        <v>12</v>
      </c>
      <c r="I161" s="132"/>
      <c r="J161" s="132"/>
      <c r="K161" s="133"/>
      <c r="L161" s="48">
        <f ca="1">IFERROR(__xludf.DUMMYFUNCTION("IMPORTRANGE(""https://docs.google.com/spreadsheets/d/1-uDff_7J0KD5mKrp0Vvzr7lt3OU09vwQwhkpOPPYv2Y/edit?usp=sharing"",""งบพรบ!CA9"")"),3309600)</f>
        <v>3309600</v>
      </c>
      <c r="M161" s="48">
        <f ca="1">IFERROR(__xludf.DUMMYFUNCTION("IMPORTRANGE(""https://docs.google.com/spreadsheets/d/1-uDff_7J0KD5mKrp0Vvzr7lt3OU09vwQwhkpOPPYv2Y/edit?usp=sharing"",""งบพรบ!CF9"")"),2663500)</f>
        <v>2663500</v>
      </c>
      <c r="N161" s="48">
        <f ca="1">IFERROR(__xludf.DUMMYFUNCTION("IMPORTRANGE(""https://docs.google.com/spreadsheets/d/1-uDff_7J0KD5mKrp0Vvzr7lt3OU09vwQwhkpOPPYv2Y/edit?usp=sharing"",""งบพรบ!CH9"")"),201373.45)</f>
        <v>201373.45</v>
      </c>
      <c r="O161" s="48">
        <f t="shared" ca="1" si="74"/>
        <v>6.0845253202803962</v>
      </c>
      <c r="P161" s="404">
        <f t="shared" ca="1" si="75"/>
        <v>7.5604824479068897</v>
      </c>
    </row>
    <row r="162" spans="1:16" ht="18.75">
      <c r="A162" s="438"/>
      <c r="B162" s="42"/>
      <c r="C162" s="42"/>
      <c r="D162" s="42"/>
      <c r="E162" s="49" t="s">
        <v>33</v>
      </c>
      <c r="F162" s="42"/>
      <c r="G162" s="44"/>
      <c r="H162" s="131" t="s">
        <v>12</v>
      </c>
      <c r="I162" s="132"/>
      <c r="J162" s="132"/>
      <c r="K162" s="133"/>
      <c r="L162" s="48">
        <f ca="1">IFERROR(__xludf.DUMMYFUNCTION("IMPORTRANGE(""https://docs.google.com/spreadsheets/d/1-uDff_7J0KD5mKrp0Vvzr7lt3OU09vwQwhkpOPPYv2Y/edit?usp=sharing"",""งบพรบ!CA8"")"),99000)</f>
        <v>99000</v>
      </c>
      <c r="M162" s="48">
        <f ca="1">IFERROR(__xludf.DUMMYFUNCTION("IMPORTRANGE(""https://docs.google.com/spreadsheets/d/1-uDff_7J0KD5mKrp0Vvzr7lt3OU09vwQwhkpOPPYv2Y/edit?usp=sharing"",""งบพรบ!CF8"")"),0)</f>
        <v>0</v>
      </c>
      <c r="N162" s="48">
        <f ca="1">IFERROR(__xludf.DUMMYFUNCTION("IMPORTRANGE(""https://docs.google.com/spreadsheets/d/1-uDff_7J0KD5mKrp0Vvzr7lt3OU09vwQwhkpOPPYv2Y/edit?usp=sharing"",""งบพรบ!CH8"")"),0)</f>
        <v>0</v>
      </c>
      <c r="O162" s="48">
        <f t="shared" ca="1" si="74"/>
        <v>0</v>
      </c>
      <c r="P162" s="404">
        <f t="shared" ca="1" si="75"/>
        <v>0</v>
      </c>
    </row>
    <row r="163" spans="1:16" ht="18.75">
      <c r="A163" s="438"/>
      <c r="B163" s="42"/>
      <c r="C163" s="42"/>
      <c r="D163" s="43" t="s">
        <v>19</v>
      </c>
      <c r="E163" s="42"/>
      <c r="F163" s="42"/>
      <c r="G163" s="44"/>
      <c r="H163" s="134" t="s">
        <v>12</v>
      </c>
      <c r="I163" s="132"/>
      <c r="J163" s="132"/>
      <c r="K163" s="133"/>
      <c r="L163" s="48">
        <f t="shared" ref="L163:N163" ca="1" si="79">L164+L165</f>
        <v>0</v>
      </c>
      <c r="M163" s="48">
        <f t="shared" ca="1" si="79"/>
        <v>0</v>
      </c>
      <c r="N163" s="48">
        <f t="shared" ca="1" si="79"/>
        <v>0</v>
      </c>
      <c r="O163" s="48">
        <f t="shared" ca="1" si="74"/>
        <v>0</v>
      </c>
      <c r="P163" s="404">
        <f t="shared" ca="1" si="75"/>
        <v>0</v>
      </c>
    </row>
    <row r="164" spans="1:16" ht="18.75">
      <c r="A164" s="438"/>
      <c r="B164" s="42"/>
      <c r="C164" s="42"/>
      <c r="D164" s="42"/>
      <c r="E164" s="49" t="s">
        <v>16</v>
      </c>
      <c r="F164" s="42"/>
      <c r="G164" s="44"/>
      <c r="H164" s="131" t="s">
        <v>12</v>
      </c>
      <c r="I164" s="132"/>
      <c r="J164" s="132"/>
      <c r="K164" s="133"/>
      <c r="L164" s="48">
        <f ca="1">IFERROR(__xludf.DUMMYFUNCTION("IMPORTRANGE(""https://docs.google.com/spreadsheets/d/1-uDff_7J0KD5mKrp0Vvzr7lt3OU09vwQwhkpOPPYv2Y/edit?usp=sharing"",""งบพรบ!CD9"")"),0)</f>
        <v>0</v>
      </c>
      <c r="M164" s="48">
        <f ca="1">IFERROR(__xludf.DUMMYFUNCTION("IMPORTRANGE(""https://docs.google.com/spreadsheets/d/1-uDff_7J0KD5mKrp0Vvzr7lt3OU09vwQwhkpOPPYv2Y/edit?usp=sharing"",""งบพรบ!CG9"")"),0)</f>
        <v>0</v>
      </c>
      <c r="N164" s="48">
        <f ca="1">IFERROR(__xludf.DUMMYFUNCTION("IMPORTRANGE(""https://docs.google.com/spreadsheets/d/1-uDff_7J0KD5mKrp0Vvzr7lt3OU09vwQwhkpOPPYv2Y/edit?usp=sharing"",""งบพรบ!CI9"")"),0)</f>
        <v>0</v>
      </c>
      <c r="O164" s="48">
        <f t="shared" ca="1" si="74"/>
        <v>0</v>
      </c>
      <c r="P164" s="404">
        <f t="shared" ca="1" si="75"/>
        <v>0</v>
      </c>
    </row>
    <row r="165" spans="1:16" ht="18.75">
      <c r="A165" s="438"/>
      <c r="B165" s="42"/>
      <c r="C165" s="42"/>
      <c r="D165" s="42"/>
      <c r="E165" s="49" t="s">
        <v>17</v>
      </c>
      <c r="F165" s="42"/>
      <c r="G165" s="44"/>
      <c r="H165" s="134" t="s">
        <v>12</v>
      </c>
      <c r="I165" s="132"/>
      <c r="J165" s="132"/>
      <c r="K165" s="133"/>
      <c r="L165" s="48">
        <f ca="1">IFERROR(__xludf.DUMMYFUNCTION("IMPORTRANGE(""https://docs.google.com/spreadsheets/d/1-uDff_7J0KD5mKrp0Vvzr7lt3OU09vwQwhkpOPPYv2Y/edit?usp=sharing"",""งบพรบ!CD8"")"),0)</f>
        <v>0</v>
      </c>
      <c r="M165" s="48">
        <f ca="1">IFERROR(__xludf.DUMMYFUNCTION("IMPORTRANGE(""https://docs.google.com/spreadsheets/d/1-uDff_7J0KD5mKrp0Vvzr7lt3OU09vwQwhkpOPPYv2Y/edit?usp=sharing"",""งบพรบ!CG8"")"),0)</f>
        <v>0</v>
      </c>
      <c r="N165" s="48">
        <f ca="1">IFERROR(__xludf.DUMMYFUNCTION("IMPORTRANGE(""https://docs.google.com/spreadsheets/d/1-uDff_7J0KD5mKrp0Vvzr7lt3OU09vwQwhkpOPPYv2Y/edit?usp=sharing"",""งบพรบ!CI8"")"),0)</f>
        <v>0</v>
      </c>
      <c r="O165" s="48">
        <f t="shared" ca="1" si="74"/>
        <v>0</v>
      </c>
      <c r="P165" s="404">
        <f t="shared" ca="1" si="75"/>
        <v>0</v>
      </c>
    </row>
    <row r="166" spans="1:16" ht="19.5">
      <c r="A166" s="440"/>
      <c r="B166" s="135"/>
      <c r="C166" s="126" t="s">
        <v>14</v>
      </c>
      <c r="D166" s="136" t="s">
        <v>34</v>
      </c>
      <c r="E166" s="137"/>
      <c r="F166" s="137"/>
      <c r="G166" s="138"/>
      <c r="H166" s="182"/>
      <c r="I166" s="46"/>
      <c r="J166" s="46"/>
      <c r="K166" s="47"/>
      <c r="L166" s="47"/>
      <c r="M166" s="47"/>
      <c r="N166" s="47"/>
      <c r="O166" s="47"/>
      <c r="P166" s="448"/>
    </row>
    <row r="167" spans="1:16" ht="18.75">
      <c r="A167" s="438"/>
      <c r="B167" s="42"/>
      <c r="C167" s="42"/>
      <c r="D167" s="49" t="s">
        <v>59</v>
      </c>
      <c r="E167" s="42"/>
      <c r="F167" s="42"/>
      <c r="G167" s="44"/>
      <c r="H167" s="134" t="s">
        <v>31</v>
      </c>
      <c r="I167" s="158">
        <f ca="1">IFERROR(__xludf.DUMMYFUNCTION("IMPORTRANGE(""https://docs.google.com/spreadsheets/d/1-XHdCZLVuuLs4PEabQnSVXw00PPYzJqGd1hkCriq2gk/edit?usp=sharing"",""GAP!R7"")"),330)</f>
        <v>330</v>
      </c>
      <c r="J167" s="386">
        <f ca="1">IFERROR(__xludf.DUMMYFUNCTION("IMPORTRANGE(""https://docs.google.com/spreadsheets/d/1-XHdCZLVuuLs4PEabQnSVXw00PPYzJqGd1hkCriq2gk/edit?usp=sharing"",""GAP!S7"")"),20)</f>
        <v>20</v>
      </c>
      <c r="K167" s="48">
        <f t="shared" ref="K167:K169" ca="1" si="80">IF(I167&gt;0,J167*100/I167,0)</f>
        <v>6.0606060606060606</v>
      </c>
      <c r="L167" s="47"/>
      <c r="M167" s="47"/>
      <c r="N167" s="47"/>
      <c r="O167" s="47"/>
      <c r="P167" s="448"/>
    </row>
    <row r="168" spans="1:16" ht="18.75">
      <c r="A168" s="438"/>
      <c r="B168" s="42"/>
      <c r="C168" s="42"/>
      <c r="D168" s="49" t="s">
        <v>60</v>
      </c>
      <c r="E168" s="42"/>
      <c r="F168" s="42"/>
      <c r="G168" s="44"/>
      <c r="H168" s="134" t="s">
        <v>31</v>
      </c>
      <c r="I168" s="158">
        <f t="shared" ref="I168:I169" ca="1" si="81">I167</f>
        <v>330</v>
      </c>
      <c r="J168" s="386">
        <v>0</v>
      </c>
      <c r="K168" s="48">
        <f t="shared" ca="1" si="80"/>
        <v>0</v>
      </c>
      <c r="L168" s="47"/>
      <c r="M168" s="47"/>
      <c r="N168" s="47"/>
      <c r="O168" s="47"/>
      <c r="P168" s="448"/>
    </row>
    <row r="169" spans="1:16" ht="18.75">
      <c r="A169" s="455"/>
      <c r="B169" s="429"/>
      <c r="C169" s="429"/>
      <c r="D169" s="430" t="s">
        <v>61</v>
      </c>
      <c r="E169" s="429"/>
      <c r="F169" s="429"/>
      <c r="G169" s="109"/>
      <c r="H169" s="200" t="s">
        <v>31</v>
      </c>
      <c r="I169" s="201">
        <f t="shared" ca="1" si="81"/>
        <v>330</v>
      </c>
      <c r="J169" s="389">
        <v>0</v>
      </c>
      <c r="K169" s="113">
        <f t="shared" ca="1" si="80"/>
        <v>0</v>
      </c>
      <c r="L169" s="112"/>
      <c r="M169" s="112"/>
      <c r="N169" s="112"/>
      <c r="O169" s="112"/>
      <c r="P169" s="456"/>
    </row>
    <row r="170" spans="1:16" ht="19.5">
      <c r="A170" s="457" t="s">
        <v>62</v>
      </c>
      <c r="B170" s="202"/>
      <c r="C170" s="202"/>
      <c r="D170" s="202"/>
      <c r="E170" s="203"/>
      <c r="F170" s="203"/>
      <c r="G170" s="203"/>
      <c r="H170" s="203"/>
      <c r="I170" s="204"/>
      <c r="J170" s="204"/>
      <c r="K170" s="205"/>
      <c r="L170" s="205"/>
      <c r="M170" s="205"/>
      <c r="N170" s="205"/>
      <c r="O170" s="205"/>
      <c r="P170" s="458"/>
    </row>
    <row r="171" spans="1:16" ht="19.5">
      <c r="A171" s="459" t="s">
        <v>63</v>
      </c>
      <c r="B171" s="206"/>
      <c r="C171" s="206"/>
      <c r="D171" s="207"/>
      <c r="E171" s="207"/>
      <c r="F171" s="207"/>
      <c r="G171" s="208"/>
      <c r="H171" s="208"/>
      <c r="I171" s="209"/>
      <c r="J171" s="209"/>
      <c r="K171" s="210"/>
      <c r="L171" s="210"/>
      <c r="M171" s="210"/>
      <c r="N171" s="210"/>
      <c r="O171" s="210"/>
      <c r="P171" s="460"/>
    </row>
    <row r="172" spans="1:16" ht="19.5">
      <c r="A172" s="461"/>
      <c r="B172" s="211" t="s">
        <v>64</v>
      </c>
      <c r="C172" s="212"/>
      <c r="D172" s="137"/>
      <c r="E172" s="137"/>
      <c r="F172" s="137"/>
      <c r="G172" s="138"/>
      <c r="H172" s="213" t="s">
        <v>31</v>
      </c>
      <c r="I172" s="214">
        <f t="shared" ref="I172:J172" ca="1" si="82">I183+I184</f>
        <v>470</v>
      </c>
      <c r="J172" s="214">
        <f t="shared" ca="1" si="82"/>
        <v>84</v>
      </c>
      <c r="K172" s="215">
        <f ca="1">IF(I172&gt;0,J172*100/I172,0)</f>
        <v>17.872340425531913</v>
      </c>
      <c r="L172" s="216"/>
      <c r="M172" s="216"/>
      <c r="N172" s="216"/>
      <c r="O172" s="216"/>
      <c r="P172" s="462"/>
    </row>
    <row r="173" spans="1:16" ht="19.5">
      <c r="A173" s="438"/>
      <c r="B173" s="42"/>
      <c r="C173" s="126" t="s">
        <v>14</v>
      </c>
      <c r="D173" s="127" t="s">
        <v>15</v>
      </c>
      <c r="E173" s="42"/>
      <c r="F173" s="42"/>
      <c r="G173" s="44"/>
      <c r="H173" s="128" t="s">
        <v>12</v>
      </c>
      <c r="I173" s="46"/>
      <c r="J173" s="46"/>
      <c r="K173" s="47"/>
      <c r="L173" s="129">
        <f t="shared" ref="L173:N173" ca="1" si="83">L174+L175</f>
        <v>15015300</v>
      </c>
      <c r="M173" s="129">
        <f t="shared" ca="1" si="83"/>
        <v>11963100</v>
      </c>
      <c r="N173" s="129">
        <f t="shared" ca="1" si="83"/>
        <v>4609563.93</v>
      </c>
      <c r="O173" s="129">
        <f t="shared" ref="O173:O181" ca="1" si="84">IF(L173&gt;0,N173*100/L173,0)</f>
        <v>30.699113104633273</v>
      </c>
      <c r="P173" s="439">
        <f t="shared" ref="P173:P181" ca="1" si="85">IF(M173&gt;0,N173*100/M173,0)</f>
        <v>38.531517165283248</v>
      </c>
    </row>
    <row r="174" spans="1:16" ht="18.75">
      <c r="A174" s="438"/>
      <c r="B174" s="42"/>
      <c r="C174" s="42"/>
      <c r="D174" s="42"/>
      <c r="E174" s="49" t="s">
        <v>16</v>
      </c>
      <c r="F174" s="42"/>
      <c r="G174" s="44"/>
      <c r="H174" s="130" t="s">
        <v>12</v>
      </c>
      <c r="I174" s="46"/>
      <c r="J174" s="46"/>
      <c r="K174" s="47"/>
      <c r="L174" s="48">
        <f t="shared" ref="L174:N174" ca="1" si="86">L177+L180</f>
        <v>13701400</v>
      </c>
      <c r="M174" s="48">
        <f t="shared" ca="1" si="86"/>
        <v>10649200</v>
      </c>
      <c r="N174" s="48">
        <f t="shared" ca="1" si="86"/>
        <v>4313492.93</v>
      </c>
      <c r="O174" s="48">
        <f t="shared" ca="1" si="84"/>
        <v>31.482132701767704</v>
      </c>
      <c r="P174" s="404">
        <f t="shared" ca="1" si="85"/>
        <v>40.505323686286296</v>
      </c>
    </row>
    <row r="175" spans="1:16" ht="18.75">
      <c r="A175" s="438"/>
      <c r="B175" s="42"/>
      <c r="C175" s="42"/>
      <c r="D175" s="42"/>
      <c r="E175" s="49" t="s">
        <v>17</v>
      </c>
      <c r="F175" s="42"/>
      <c r="G175" s="44"/>
      <c r="H175" s="130" t="s">
        <v>12</v>
      </c>
      <c r="I175" s="46"/>
      <c r="J175" s="46"/>
      <c r="K175" s="47"/>
      <c r="L175" s="48">
        <f t="shared" ref="L175:N175" ca="1" si="87">L178+L181</f>
        <v>1313900</v>
      </c>
      <c r="M175" s="48">
        <f t="shared" ca="1" si="87"/>
        <v>1313900</v>
      </c>
      <c r="N175" s="48">
        <f t="shared" ca="1" si="87"/>
        <v>296071</v>
      </c>
      <c r="O175" s="48">
        <f t="shared" ca="1" si="84"/>
        <v>22.533754471420959</v>
      </c>
      <c r="P175" s="404">
        <f t="shared" ca="1" si="85"/>
        <v>22.533754471420959</v>
      </c>
    </row>
    <row r="176" spans="1:16" ht="18.75">
      <c r="A176" s="438"/>
      <c r="B176" s="42"/>
      <c r="C176" s="42"/>
      <c r="D176" s="43" t="s">
        <v>18</v>
      </c>
      <c r="E176" s="42"/>
      <c r="F176" s="42"/>
      <c r="G176" s="44"/>
      <c r="H176" s="131" t="s">
        <v>12</v>
      </c>
      <c r="I176" s="132"/>
      <c r="J176" s="132"/>
      <c r="K176" s="133"/>
      <c r="L176" s="48">
        <f t="shared" ref="L176:N176" ca="1" si="88">L177+L178</f>
        <v>15015300</v>
      </c>
      <c r="M176" s="48">
        <f t="shared" ca="1" si="88"/>
        <v>11963100</v>
      </c>
      <c r="N176" s="48">
        <f t="shared" ca="1" si="88"/>
        <v>4609563.93</v>
      </c>
      <c r="O176" s="48">
        <f t="shared" ca="1" si="84"/>
        <v>30.699113104633273</v>
      </c>
      <c r="P176" s="404">
        <f t="shared" ca="1" si="85"/>
        <v>38.531517165283248</v>
      </c>
    </row>
    <row r="177" spans="1:16" ht="18.75">
      <c r="A177" s="438"/>
      <c r="B177" s="42"/>
      <c r="C177" s="42"/>
      <c r="D177" s="42"/>
      <c r="E177" s="49" t="s">
        <v>32</v>
      </c>
      <c r="F177" s="42"/>
      <c r="G177" s="44"/>
      <c r="H177" s="131" t="s">
        <v>12</v>
      </c>
      <c r="I177" s="132"/>
      <c r="J177" s="132"/>
      <c r="K177" s="133"/>
      <c r="L177" s="48">
        <f ca="1">IFERROR(__xludf.DUMMYFUNCTION("IMPORTRANGE(""https://docs.google.com/spreadsheets/d/1-uDff_7J0KD5mKrp0Vvzr7lt3OU09vwQwhkpOPPYv2Y/edit?usp=sharing"",""งบพรบ!CK9"")"),13701400)</f>
        <v>13701400</v>
      </c>
      <c r="M177" s="48">
        <f ca="1">IFERROR(__xludf.DUMMYFUNCTION("IMPORTRANGE(""https://docs.google.com/spreadsheets/d/1-uDff_7J0KD5mKrp0Vvzr7lt3OU09vwQwhkpOPPYv2Y/edit?usp=sharing"",""งบพรบ!CP9"")"),10649200)</f>
        <v>10649200</v>
      </c>
      <c r="N177" s="48">
        <f ca="1">IFERROR(__xludf.DUMMYFUNCTION("IMPORTRANGE(""https://docs.google.com/spreadsheets/d/1-uDff_7J0KD5mKrp0Vvzr7lt3OU09vwQwhkpOPPYv2Y/edit?usp=sharing"",""งบพรบ!CR9"")"),4313492.93)</f>
        <v>4313492.93</v>
      </c>
      <c r="O177" s="48">
        <f t="shared" ca="1" si="84"/>
        <v>31.482132701767704</v>
      </c>
      <c r="P177" s="404">
        <f t="shared" ca="1" si="85"/>
        <v>40.505323686286296</v>
      </c>
    </row>
    <row r="178" spans="1:16" ht="18.75">
      <c r="A178" s="438"/>
      <c r="B178" s="42"/>
      <c r="C178" s="42"/>
      <c r="D178" s="42"/>
      <c r="E178" s="49" t="s">
        <v>33</v>
      </c>
      <c r="F178" s="42"/>
      <c r="G178" s="44"/>
      <c r="H178" s="131" t="s">
        <v>12</v>
      </c>
      <c r="I178" s="132"/>
      <c r="J178" s="132"/>
      <c r="K178" s="133"/>
      <c r="L178" s="48">
        <f ca="1">IFERROR(__xludf.DUMMYFUNCTION("IMPORTRANGE(""https://docs.google.com/spreadsheets/d/1-uDff_7J0KD5mKrp0Vvzr7lt3OU09vwQwhkpOPPYv2Y/edit?usp=sharing"",""งบพรบ!CK8"")"),1313900)</f>
        <v>1313900</v>
      </c>
      <c r="M178" s="48">
        <f ca="1">IFERROR(__xludf.DUMMYFUNCTION("IMPORTRANGE(""https://docs.google.com/spreadsheets/d/1-uDff_7J0KD5mKrp0Vvzr7lt3OU09vwQwhkpOPPYv2Y/edit?usp=sharing"",""งบพรบ!CP8"")"),1313900)</f>
        <v>1313900</v>
      </c>
      <c r="N178" s="48">
        <f ca="1">IFERROR(__xludf.DUMMYFUNCTION("IMPORTRANGE(""https://docs.google.com/spreadsheets/d/1-uDff_7J0KD5mKrp0Vvzr7lt3OU09vwQwhkpOPPYv2Y/edit?usp=sharing"",""งบพรบ!CR8"")"),296071)</f>
        <v>296071</v>
      </c>
      <c r="O178" s="48">
        <f t="shared" ca="1" si="84"/>
        <v>22.533754471420959</v>
      </c>
      <c r="P178" s="404">
        <f t="shared" ca="1" si="85"/>
        <v>22.533754471420959</v>
      </c>
    </row>
    <row r="179" spans="1:16" ht="18.75">
      <c r="A179" s="438"/>
      <c r="B179" s="42"/>
      <c r="C179" s="42"/>
      <c r="D179" s="43" t="s">
        <v>19</v>
      </c>
      <c r="E179" s="42"/>
      <c r="F179" s="42"/>
      <c r="G179" s="44"/>
      <c r="H179" s="134" t="s">
        <v>12</v>
      </c>
      <c r="I179" s="132"/>
      <c r="J179" s="132"/>
      <c r="K179" s="133"/>
      <c r="L179" s="48">
        <f t="shared" ref="L179:N179" ca="1" si="89">L180+L181</f>
        <v>0</v>
      </c>
      <c r="M179" s="48">
        <f t="shared" ca="1" si="89"/>
        <v>0</v>
      </c>
      <c r="N179" s="48">
        <f t="shared" ca="1" si="89"/>
        <v>0</v>
      </c>
      <c r="O179" s="48">
        <f t="shared" ca="1" si="84"/>
        <v>0</v>
      </c>
      <c r="P179" s="404">
        <f t="shared" ca="1" si="85"/>
        <v>0</v>
      </c>
    </row>
    <row r="180" spans="1:16" ht="18.75">
      <c r="A180" s="438"/>
      <c r="B180" s="42"/>
      <c r="C180" s="42"/>
      <c r="D180" s="42"/>
      <c r="E180" s="49" t="s">
        <v>16</v>
      </c>
      <c r="F180" s="42"/>
      <c r="G180" s="44"/>
      <c r="H180" s="131" t="s">
        <v>12</v>
      </c>
      <c r="I180" s="132"/>
      <c r="J180" s="132"/>
      <c r="K180" s="133"/>
      <c r="L180" s="48">
        <f ca="1">IFERROR(__xludf.DUMMYFUNCTION("IMPORTRANGE(""https://docs.google.com/spreadsheets/d/1-uDff_7J0KD5mKrp0Vvzr7lt3OU09vwQwhkpOPPYv2Y/edit?usp=sharing"",""งบพรบ!CN9"")"),0)</f>
        <v>0</v>
      </c>
      <c r="M180" s="48">
        <f ca="1">IFERROR(__xludf.DUMMYFUNCTION("IMPORTRANGE(""https://docs.google.com/spreadsheets/d/1-uDff_7J0KD5mKrp0Vvzr7lt3OU09vwQwhkpOPPYv2Y/edit?usp=sharing"",""งบพรบ!CQ9"")"),0)</f>
        <v>0</v>
      </c>
      <c r="N180" s="48">
        <f ca="1">IFERROR(__xludf.DUMMYFUNCTION("IMPORTRANGE(""https://docs.google.com/spreadsheets/d/1-uDff_7J0KD5mKrp0Vvzr7lt3OU09vwQwhkpOPPYv2Y/edit?usp=sharing"",""งบพรบ!CS9"")"),0)</f>
        <v>0</v>
      </c>
      <c r="O180" s="48">
        <f t="shared" ca="1" si="84"/>
        <v>0</v>
      </c>
      <c r="P180" s="404">
        <f t="shared" ca="1" si="85"/>
        <v>0</v>
      </c>
    </row>
    <row r="181" spans="1:16" ht="18.75">
      <c r="A181" s="438"/>
      <c r="B181" s="42"/>
      <c r="C181" s="42"/>
      <c r="D181" s="42"/>
      <c r="E181" s="49" t="s">
        <v>17</v>
      </c>
      <c r="F181" s="42"/>
      <c r="G181" s="44"/>
      <c r="H181" s="134" t="s">
        <v>12</v>
      </c>
      <c r="I181" s="132"/>
      <c r="J181" s="132"/>
      <c r="K181" s="133"/>
      <c r="L181" s="48">
        <f ca="1">IFERROR(__xludf.DUMMYFUNCTION("IMPORTRANGE(""https://docs.google.com/spreadsheets/d/1-uDff_7J0KD5mKrp0Vvzr7lt3OU09vwQwhkpOPPYv2Y/edit?usp=sharing"",""งบพรบ!CN8"")"),0)</f>
        <v>0</v>
      </c>
      <c r="M181" s="48">
        <f ca="1">IFERROR(__xludf.DUMMYFUNCTION("IMPORTRANGE(""https://docs.google.com/spreadsheets/d/1-uDff_7J0KD5mKrp0Vvzr7lt3OU09vwQwhkpOPPYv2Y/edit?usp=sharing"",""งบพรบ!CQ8"")"),0)</f>
        <v>0</v>
      </c>
      <c r="N181" s="48">
        <f ca="1">IFERROR(__xludf.DUMMYFUNCTION("IMPORTRANGE(""https://docs.google.com/spreadsheets/d/1-uDff_7J0KD5mKrp0Vvzr7lt3OU09vwQwhkpOPPYv2Y/edit?usp=sharing"",""งบพรบ!CS8"")"),0)</f>
        <v>0</v>
      </c>
      <c r="O181" s="48">
        <f t="shared" ca="1" si="84"/>
        <v>0</v>
      </c>
      <c r="P181" s="404">
        <f t="shared" ca="1" si="85"/>
        <v>0</v>
      </c>
    </row>
    <row r="182" spans="1:16" ht="19.5">
      <c r="A182" s="440"/>
      <c r="B182" s="135"/>
      <c r="C182" s="126" t="s">
        <v>14</v>
      </c>
      <c r="D182" s="136" t="s">
        <v>34</v>
      </c>
      <c r="E182" s="137"/>
      <c r="F182" s="137"/>
      <c r="G182" s="138"/>
      <c r="H182" s="182"/>
      <c r="I182" s="46"/>
      <c r="J182" s="46"/>
      <c r="K182" s="47"/>
      <c r="L182" s="47"/>
      <c r="M182" s="47"/>
      <c r="N182" s="47"/>
      <c r="O182" s="47"/>
      <c r="P182" s="448"/>
    </row>
    <row r="183" spans="1:16" ht="18.75">
      <c r="A183" s="463"/>
      <c r="B183" s="42"/>
      <c r="C183" s="217"/>
      <c r="D183" s="217" t="s">
        <v>65</v>
      </c>
      <c r="E183" s="42"/>
      <c r="F183" s="42"/>
      <c r="G183" s="44"/>
      <c r="H183" s="218" t="s">
        <v>31</v>
      </c>
      <c r="I183" s="158">
        <f ca="1">IFERROR(__xludf.DUMMYFUNCTION("IMPORTRANGE(""https://docs.google.com/spreadsheets/d/1-XHdCZLVuuLs4PEabQnSVXw00PPYzJqGd1hkCriq2gk/edit?usp=sharing"",""หัตถกรรม!R7"")"),470)</f>
        <v>470</v>
      </c>
      <c r="J183" s="158">
        <f ca="1">IFERROR(__xludf.DUMMYFUNCTION("IMPORTRANGE(""https://docs.google.com/spreadsheets/d/1-XHdCZLVuuLs4PEabQnSVXw00PPYzJqGd1hkCriq2gk/edit?usp=sharing"",""หัตถกรรม!S7"")"),84)</f>
        <v>84</v>
      </c>
      <c r="K183" s="48">
        <f t="shared" ref="K183:K185" ca="1" si="90">IF(I183&gt;0,J183*100/I183,0)</f>
        <v>17.872340425531913</v>
      </c>
      <c r="L183" s="47"/>
      <c r="M183" s="47"/>
      <c r="N183" s="47"/>
      <c r="O183" s="47"/>
      <c r="P183" s="448"/>
    </row>
    <row r="184" spans="1:16" ht="18.75">
      <c r="A184" s="463"/>
      <c r="B184" s="219"/>
      <c r="C184" s="217"/>
      <c r="D184" s="217" t="s">
        <v>66</v>
      </c>
      <c r="E184" s="42"/>
      <c r="F184" s="42"/>
      <c r="G184" s="44"/>
      <c r="H184" s="218" t="s">
        <v>31</v>
      </c>
      <c r="I184" s="158">
        <v>0</v>
      </c>
      <c r="J184" s="158">
        <v>0</v>
      </c>
      <c r="K184" s="48">
        <f t="shared" si="90"/>
        <v>0</v>
      </c>
      <c r="L184" s="47"/>
      <c r="M184" s="47"/>
      <c r="N184" s="47"/>
      <c r="O184" s="47"/>
      <c r="P184" s="448"/>
    </row>
    <row r="185" spans="1:16" ht="19.5">
      <c r="A185" s="461"/>
      <c r="B185" s="211" t="s">
        <v>67</v>
      </c>
      <c r="C185" s="212"/>
      <c r="D185" s="137"/>
      <c r="E185" s="137"/>
      <c r="F185" s="137"/>
      <c r="G185" s="138"/>
      <c r="H185" s="213" t="s">
        <v>31</v>
      </c>
      <c r="I185" s="214">
        <f t="shared" ref="I185:J185" ca="1" si="91">I230+I231</f>
        <v>0</v>
      </c>
      <c r="J185" s="214">
        <f t="shared" ca="1" si="91"/>
        <v>0</v>
      </c>
      <c r="K185" s="215">
        <f t="shared" ca="1" si="90"/>
        <v>0</v>
      </c>
      <c r="L185" s="216"/>
      <c r="M185" s="216"/>
      <c r="N185" s="216"/>
      <c r="O185" s="216"/>
      <c r="P185" s="462"/>
    </row>
    <row r="186" spans="1:16" ht="19.5">
      <c r="A186" s="438"/>
      <c r="B186" s="42"/>
      <c r="C186" s="126" t="s">
        <v>14</v>
      </c>
      <c r="D186" s="127" t="s">
        <v>15</v>
      </c>
      <c r="E186" s="42"/>
      <c r="F186" s="42"/>
      <c r="G186" s="44"/>
      <c r="H186" s="128" t="s">
        <v>12</v>
      </c>
      <c r="I186" s="46"/>
      <c r="J186" s="46"/>
      <c r="K186" s="47"/>
      <c r="L186" s="129">
        <f t="shared" ref="L186:N186" ca="1" si="92">L187+L188</f>
        <v>14194800</v>
      </c>
      <c r="M186" s="129">
        <f t="shared" ca="1" si="92"/>
        <v>11324100</v>
      </c>
      <c r="N186" s="129">
        <f t="shared" ca="1" si="92"/>
        <v>1590104.67</v>
      </c>
      <c r="O186" s="129">
        <f t="shared" ref="O186:O194" ca="1" si="93">IF(L186&gt;0,N186*100/L186,0)</f>
        <v>11.202022360300955</v>
      </c>
      <c r="P186" s="439">
        <f t="shared" ref="P186:P194" ca="1" si="94">IF(M186&gt;0,N186*100/M186,0)</f>
        <v>14.041775240416458</v>
      </c>
    </row>
    <row r="187" spans="1:16" ht="18.75">
      <c r="A187" s="438"/>
      <c r="B187" s="42"/>
      <c r="C187" s="42"/>
      <c r="D187" s="42"/>
      <c r="E187" s="49" t="s">
        <v>16</v>
      </c>
      <c r="F187" s="42"/>
      <c r="G187" s="44"/>
      <c r="H187" s="130" t="s">
        <v>12</v>
      </c>
      <c r="I187" s="46"/>
      <c r="J187" s="46"/>
      <c r="K187" s="47"/>
      <c r="L187" s="48">
        <f t="shared" ref="L187:N187" ca="1" si="95">L190+L193</f>
        <v>2023400</v>
      </c>
      <c r="M187" s="48">
        <f t="shared" ca="1" si="95"/>
        <v>2410975</v>
      </c>
      <c r="N187" s="48">
        <f t="shared" ca="1" si="95"/>
        <v>299095</v>
      </c>
      <c r="O187" s="48">
        <f t="shared" ca="1" si="93"/>
        <v>14.781802905999802</v>
      </c>
      <c r="P187" s="404">
        <f t="shared" ca="1" si="94"/>
        <v>12.405562065139621</v>
      </c>
    </row>
    <row r="188" spans="1:16" ht="18.75">
      <c r="A188" s="438"/>
      <c r="B188" s="42"/>
      <c r="C188" s="42"/>
      <c r="D188" s="42"/>
      <c r="E188" s="49" t="s">
        <v>17</v>
      </c>
      <c r="F188" s="42"/>
      <c r="G188" s="44"/>
      <c r="H188" s="130" t="s">
        <v>12</v>
      </c>
      <c r="I188" s="46"/>
      <c r="J188" s="46"/>
      <c r="K188" s="47"/>
      <c r="L188" s="48">
        <f t="shared" ref="L188:N188" ca="1" si="96">L191+L194</f>
        <v>12171400</v>
      </c>
      <c r="M188" s="48">
        <f t="shared" ca="1" si="96"/>
        <v>8913125</v>
      </c>
      <c r="N188" s="48">
        <f t="shared" ca="1" si="96"/>
        <v>1291009.67</v>
      </c>
      <c r="O188" s="48">
        <f t="shared" ca="1" si="93"/>
        <v>10.606911858948026</v>
      </c>
      <c r="P188" s="404">
        <f t="shared" ca="1" si="94"/>
        <v>14.484366257625693</v>
      </c>
    </row>
    <row r="189" spans="1:16" ht="18.75">
      <c r="A189" s="438"/>
      <c r="B189" s="42"/>
      <c r="C189" s="42"/>
      <c r="D189" s="43" t="s">
        <v>18</v>
      </c>
      <c r="E189" s="42"/>
      <c r="F189" s="42"/>
      <c r="G189" s="44"/>
      <c r="H189" s="131" t="s">
        <v>12</v>
      </c>
      <c r="I189" s="132"/>
      <c r="J189" s="132"/>
      <c r="K189" s="133"/>
      <c r="L189" s="48">
        <f t="shared" ref="L189:N189" ca="1" si="97">L190+L191</f>
        <v>14194800</v>
      </c>
      <c r="M189" s="48">
        <f t="shared" ca="1" si="97"/>
        <v>11324100</v>
      </c>
      <c r="N189" s="48">
        <f t="shared" ca="1" si="97"/>
        <v>1590104.67</v>
      </c>
      <c r="O189" s="48">
        <f t="shared" ca="1" si="93"/>
        <v>11.202022360300955</v>
      </c>
      <c r="P189" s="404">
        <f t="shared" ca="1" si="94"/>
        <v>14.041775240416458</v>
      </c>
    </row>
    <row r="190" spans="1:16" ht="18.75">
      <c r="A190" s="438"/>
      <c r="B190" s="42"/>
      <c r="C190" s="42"/>
      <c r="D190" s="42"/>
      <c r="E190" s="49" t="s">
        <v>32</v>
      </c>
      <c r="F190" s="42"/>
      <c r="G190" s="44"/>
      <c r="H190" s="131" t="s">
        <v>12</v>
      </c>
      <c r="I190" s="132"/>
      <c r="J190" s="132"/>
      <c r="K190" s="133"/>
      <c r="L190" s="48">
        <f ca="1">IFERROR(__xludf.DUMMYFUNCTION("IMPORTRANGE(""https://docs.google.com/spreadsheets/d/1-uDff_7J0KD5mKrp0Vvzr7lt3OU09vwQwhkpOPPYv2Y/edit?usp=sharing"",""งบพรบ!CU9"")"),2023400)</f>
        <v>2023400</v>
      </c>
      <c r="M190" s="48">
        <f ca="1">IFERROR(__xludf.DUMMYFUNCTION("IMPORTRANGE(""https://docs.google.com/spreadsheets/d/1-uDff_7J0KD5mKrp0Vvzr7lt3OU09vwQwhkpOPPYv2Y/edit?usp=sharing"",""งบพรบ!CZ9"")"),2410975)</f>
        <v>2410975</v>
      </c>
      <c r="N190" s="48">
        <f ca="1">IFERROR(__xludf.DUMMYFUNCTION("IMPORTRANGE(""https://docs.google.com/spreadsheets/d/1-uDff_7J0KD5mKrp0Vvzr7lt3OU09vwQwhkpOPPYv2Y/edit?usp=sharing"",""งบพรบ!DB9"")"),299095)</f>
        <v>299095</v>
      </c>
      <c r="O190" s="48">
        <f t="shared" ca="1" si="93"/>
        <v>14.781802905999802</v>
      </c>
      <c r="P190" s="404">
        <f t="shared" ca="1" si="94"/>
        <v>12.405562065139621</v>
      </c>
    </row>
    <row r="191" spans="1:16" ht="18.75">
      <c r="A191" s="438"/>
      <c r="B191" s="42"/>
      <c r="C191" s="42"/>
      <c r="D191" s="42"/>
      <c r="E191" s="49" t="s">
        <v>33</v>
      </c>
      <c r="F191" s="42"/>
      <c r="G191" s="44"/>
      <c r="H191" s="131" t="s">
        <v>12</v>
      </c>
      <c r="I191" s="132"/>
      <c r="J191" s="132"/>
      <c r="K191" s="133"/>
      <c r="L191" s="48">
        <f ca="1">IFERROR(__xludf.DUMMYFUNCTION("IMPORTRANGE(""https://docs.google.com/spreadsheets/d/1-uDff_7J0KD5mKrp0Vvzr7lt3OU09vwQwhkpOPPYv2Y/edit?usp=sharing"",""งบพรบ!CU8"")"),12171400)</f>
        <v>12171400</v>
      </c>
      <c r="M191" s="48">
        <f ca="1">IFERROR(__xludf.DUMMYFUNCTION("IMPORTRANGE(""https://docs.google.com/spreadsheets/d/1-uDff_7J0KD5mKrp0Vvzr7lt3OU09vwQwhkpOPPYv2Y/edit?usp=sharing"",""งบพรบ!CZ8"")"),8913125)</f>
        <v>8913125</v>
      </c>
      <c r="N191" s="48">
        <f ca="1">IFERROR(__xludf.DUMMYFUNCTION("IMPORTRANGE(""https://docs.google.com/spreadsheets/d/1-uDff_7J0KD5mKrp0Vvzr7lt3OU09vwQwhkpOPPYv2Y/edit?usp=sharing"",""งบพรบ!DB8"")"),1291009.67)</f>
        <v>1291009.67</v>
      </c>
      <c r="O191" s="48">
        <f t="shared" ca="1" si="93"/>
        <v>10.606911858948026</v>
      </c>
      <c r="P191" s="404">
        <f t="shared" ca="1" si="94"/>
        <v>14.484366257625693</v>
      </c>
    </row>
    <row r="192" spans="1:16" ht="18.75">
      <c r="A192" s="438"/>
      <c r="B192" s="42"/>
      <c r="C192" s="42"/>
      <c r="D192" s="43" t="s">
        <v>19</v>
      </c>
      <c r="E192" s="42"/>
      <c r="F192" s="42"/>
      <c r="G192" s="44"/>
      <c r="H192" s="134" t="s">
        <v>12</v>
      </c>
      <c r="I192" s="132"/>
      <c r="J192" s="132"/>
      <c r="K192" s="133"/>
      <c r="L192" s="48">
        <f t="shared" ref="L192:N192" ca="1" si="98">L193+L194</f>
        <v>0</v>
      </c>
      <c r="M192" s="48">
        <f t="shared" ca="1" si="98"/>
        <v>0</v>
      </c>
      <c r="N192" s="48">
        <f t="shared" ca="1" si="98"/>
        <v>0</v>
      </c>
      <c r="O192" s="48">
        <f t="shared" ca="1" si="93"/>
        <v>0</v>
      </c>
      <c r="P192" s="404">
        <f t="shared" ca="1" si="94"/>
        <v>0</v>
      </c>
    </row>
    <row r="193" spans="1:16" ht="18.75">
      <c r="A193" s="438"/>
      <c r="B193" s="42"/>
      <c r="C193" s="42"/>
      <c r="D193" s="42"/>
      <c r="E193" s="49" t="s">
        <v>16</v>
      </c>
      <c r="F193" s="42"/>
      <c r="G193" s="44"/>
      <c r="H193" s="131" t="s">
        <v>12</v>
      </c>
      <c r="I193" s="132"/>
      <c r="J193" s="132"/>
      <c r="K193" s="133"/>
      <c r="L193" s="48">
        <f ca="1">IFERROR(__xludf.DUMMYFUNCTION("IMPORTRANGE(""https://docs.google.com/spreadsheets/d/1-uDff_7J0KD5mKrp0Vvzr7lt3OU09vwQwhkpOPPYv2Y/edit?usp=sharing"",""งบพรบ!CX9"")"),0)</f>
        <v>0</v>
      </c>
      <c r="M193" s="48">
        <f ca="1">IFERROR(__xludf.DUMMYFUNCTION("IMPORTRANGE(""https://docs.google.com/spreadsheets/d/1-uDff_7J0KD5mKrp0Vvzr7lt3OU09vwQwhkpOPPYv2Y/edit?usp=sharing"",""งบพรบ!DA9"")"),0)</f>
        <v>0</v>
      </c>
      <c r="N193" s="48">
        <f ca="1">IFERROR(__xludf.DUMMYFUNCTION("IMPORTRANGE(""https://docs.google.com/spreadsheets/d/1-uDff_7J0KD5mKrp0Vvzr7lt3OU09vwQwhkpOPPYv2Y/edit?usp=sharing"",""งบพรบ!DC9"")"),0)</f>
        <v>0</v>
      </c>
      <c r="O193" s="48">
        <f t="shared" ca="1" si="93"/>
        <v>0</v>
      </c>
      <c r="P193" s="404">
        <f t="shared" ca="1" si="94"/>
        <v>0</v>
      </c>
    </row>
    <row r="194" spans="1:16" ht="18.75">
      <c r="A194" s="438"/>
      <c r="B194" s="42"/>
      <c r="C194" s="42"/>
      <c r="D194" s="42"/>
      <c r="E194" s="49" t="s">
        <v>17</v>
      </c>
      <c r="F194" s="42"/>
      <c r="G194" s="44"/>
      <c r="H194" s="134" t="s">
        <v>12</v>
      </c>
      <c r="I194" s="132"/>
      <c r="J194" s="132"/>
      <c r="K194" s="133"/>
      <c r="L194" s="48">
        <f ca="1">IFERROR(__xludf.DUMMYFUNCTION("IMPORTRANGE(""https://docs.google.com/spreadsheets/d/1-uDff_7J0KD5mKrp0Vvzr7lt3OU09vwQwhkpOPPYv2Y/edit?usp=sharing"",""งบพรบ!CX8"")"),0)</f>
        <v>0</v>
      </c>
      <c r="M194" s="48">
        <f ca="1">IFERROR(__xludf.DUMMYFUNCTION("IMPORTRANGE(""https://docs.google.com/spreadsheets/d/1-uDff_7J0KD5mKrp0Vvzr7lt3OU09vwQwhkpOPPYv2Y/edit?usp=sharing"",""งบพรบ!DA8"")"),0)</f>
        <v>0</v>
      </c>
      <c r="N194" s="48">
        <f ca="1">IFERROR(__xludf.DUMMYFUNCTION("IMPORTRANGE(""https://docs.google.com/spreadsheets/d/1-uDff_7J0KD5mKrp0Vvzr7lt3OU09vwQwhkpOPPYv2Y/edit?usp=sharing"",""งบพรบ!DC8"")"),0)</f>
        <v>0</v>
      </c>
      <c r="O194" s="48">
        <f t="shared" ca="1" si="93"/>
        <v>0</v>
      </c>
      <c r="P194" s="404">
        <f t="shared" ca="1" si="94"/>
        <v>0</v>
      </c>
    </row>
    <row r="195" spans="1:16" ht="19.5">
      <c r="A195" s="464"/>
      <c r="B195" s="220"/>
      <c r="C195" s="221" t="s">
        <v>68</v>
      </c>
      <c r="D195" s="222"/>
      <c r="E195" s="222"/>
      <c r="F195" s="222"/>
      <c r="G195" s="223"/>
      <c r="H195" s="224" t="s">
        <v>69</v>
      </c>
      <c r="I195" s="225">
        <f t="shared" ref="I195:J195" ca="1" si="99">I198</f>
        <v>288</v>
      </c>
      <c r="J195" s="225">
        <f t="shared" ca="1" si="99"/>
        <v>6</v>
      </c>
      <c r="K195" s="226">
        <f ca="1">IF(I195&gt;0,J195*100/I195,0)</f>
        <v>2.0833333333333335</v>
      </c>
      <c r="L195" s="227"/>
      <c r="M195" s="227"/>
      <c r="N195" s="227"/>
      <c r="O195" s="227"/>
      <c r="P195" s="465"/>
    </row>
    <row r="196" spans="1:16" ht="19.5">
      <c r="A196" s="438"/>
      <c r="B196" s="42"/>
      <c r="C196" s="126" t="s">
        <v>14</v>
      </c>
      <c r="D196" s="228" t="s">
        <v>15</v>
      </c>
      <c r="E196" s="42"/>
      <c r="F196" s="42"/>
      <c r="G196" s="44"/>
      <c r="H196" s="229" t="s">
        <v>12</v>
      </c>
      <c r="I196" s="46"/>
      <c r="J196" s="46"/>
      <c r="K196" s="47"/>
      <c r="L196" s="129">
        <f ca="1">IFERROR(__xludf.DUMMYFUNCTION("IMPORTRANGE(""https://docs.google.com/spreadsheets/d/1-XHdCZLVuuLs4PEabQnSVXw00PPYzJqGd1hkCriq2gk/edit?usp=sharing"",""พระราชดำริ!R7"")"),432000)</f>
        <v>432000</v>
      </c>
      <c r="M196" s="47"/>
      <c r="N196" s="129">
        <f ca="1">IFERROR(__xludf.DUMMYFUNCTION("IMPORTRANGE(""https://docs.google.com/spreadsheets/d/1-XHdCZLVuuLs4PEabQnSVXw00PPYzJqGd1hkCriq2gk/edit?usp=sharing"",""พระราชดำริ!S7"")"),1800)</f>
        <v>1800</v>
      </c>
      <c r="O196" s="129">
        <f ca="1">IF(L196&gt;0,N196*100/L196,0)</f>
        <v>0.41666666666666669</v>
      </c>
      <c r="P196" s="439"/>
    </row>
    <row r="197" spans="1:16" ht="19.5">
      <c r="A197" s="440"/>
      <c r="B197" s="135"/>
      <c r="C197" s="126" t="s">
        <v>14</v>
      </c>
      <c r="D197" s="136" t="s">
        <v>34</v>
      </c>
      <c r="E197" s="137"/>
      <c r="F197" s="137"/>
      <c r="G197" s="138"/>
      <c r="H197" s="139"/>
      <c r="I197" s="46"/>
      <c r="J197" s="46"/>
      <c r="K197" s="47"/>
      <c r="L197" s="47"/>
      <c r="M197" s="47"/>
      <c r="N197" s="47"/>
      <c r="O197" s="47"/>
      <c r="P197" s="448"/>
    </row>
    <row r="198" spans="1:16" ht="18.75">
      <c r="A198" s="440"/>
      <c r="B198" s="135"/>
      <c r="C198" s="135"/>
      <c r="D198" s="145" t="s">
        <v>70</v>
      </c>
      <c r="E198" s="141"/>
      <c r="F198" s="141"/>
      <c r="G198" s="139"/>
      <c r="H198" s="146" t="s">
        <v>69</v>
      </c>
      <c r="I198" s="158">
        <f ca="1">IFERROR(__xludf.DUMMYFUNCTION("IMPORTRANGE(""https://docs.google.com/spreadsheets/d/1-XHdCZLVuuLs4PEabQnSVXw00PPYzJqGd1hkCriq2gk/edit?usp=sharing"",""พระราชดำริ!U7"")"),288)</f>
        <v>288</v>
      </c>
      <c r="J198" s="158">
        <f ca="1">IFERROR(__xludf.DUMMYFUNCTION("IMPORTRANGE(""https://docs.google.com/spreadsheets/d/1-XHdCZLVuuLs4PEabQnSVXw00PPYzJqGd1hkCriq2gk/edit?usp=sharing"",""พระราชดำริ!V7"")"),6)</f>
        <v>6</v>
      </c>
      <c r="K198" s="48">
        <f ca="1">IF(I198&gt;0,J198*100/I198,0)</f>
        <v>2.0833333333333335</v>
      </c>
      <c r="L198" s="47"/>
      <c r="M198" s="47"/>
      <c r="N198" s="47"/>
      <c r="O198" s="47"/>
      <c r="P198" s="448"/>
    </row>
    <row r="199" spans="1:16" ht="19.5">
      <c r="A199" s="440"/>
      <c r="B199" s="135"/>
      <c r="C199" s="135"/>
      <c r="D199" s="145" t="s">
        <v>71</v>
      </c>
      <c r="E199" s="141"/>
      <c r="F199" s="141"/>
      <c r="G199" s="139"/>
      <c r="H199" s="230" t="s">
        <v>31</v>
      </c>
      <c r="I199" s="46"/>
      <c r="J199" s="143">
        <f ca="1">J200+J201</f>
        <v>149</v>
      </c>
      <c r="K199" s="47"/>
      <c r="L199" s="47"/>
      <c r="M199" s="47"/>
      <c r="N199" s="47"/>
      <c r="O199" s="47"/>
      <c r="P199" s="448"/>
    </row>
    <row r="200" spans="1:16" ht="18.75">
      <c r="A200" s="440"/>
      <c r="B200" s="135"/>
      <c r="C200" s="135"/>
      <c r="D200" s="135"/>
      <c r="E200" s="145" t="s">
        <v>72</v>
      </c>
      <c r="F200" s="141"/>
      <c r="G200" s="139"/>
      <c r="H200" s="218" t="s">
        <v>31</v>
      </c>
      <c r="I200" s="46"/>
      <c r="J200" s="158">
        <f ca="1">IFERROR(__xludf.DUMMYFUNCTION("IMPORTRANGE(""https://docs.google.com/spreadsheets/d/1-XHdCZLVuuLs4PEabQnSVXw00PPYzJqGd1hkCriq2gk/edit?usp=sharing"",""พระราชดำริ!Y7"")"),149)</f>
        <v>149</v>
      </c>
      <c r="K200" s="47"/>
      <c r="L200" s="47"/>
      <c r="M200" s="47"/>
      <c r="N200" s="47"/>
      <c r="O200" s="47"/>
      <c r="P200" s="448"/>
    </row>
    <row r="201" spans="1:16" ht="18.75">
      <c r="A201" s="440"/>
      <c r="B201" s="135"/>
      <c r="C201" s="135"/>
      <c r="D201" s="135"/>
      <c r="E201" s="145" t="s">
        <v>73</v>
      </c>
      <c r="F201" s="141"/>
      <c r="G201" s="139"/>
      <c r="H201" s="218" t="s">
        <v>31</v>
      </c>
      <c r="I201" s="46"/>
      <c r="J201" s="158">
        <f ca="1">IFERROR(__xludf.DUMMYFUNCTION("IMPORTRANGE(""https://docs.google.com/spreadsheets/d/1-XHdCZLVuuLs4PEabQnSVXw00PPYzJqGd1hkCriq2gk/edit?usp=sharing"",""พระราชดำริ!Z7"")"),0)</f>
        <v>0</v>
      </c>
      <c r="K201" s="47"/>
      <c r="L201" s="47"/>
      <c r="M201" s="47"/>
      <c r="N201" s="47"/>
      <c r="O201" s="47"/>
      <c r="P201" s="448"/>
    </row>
    <row r="202" spans="1:16" ht="19.5">
      <c r="A202" s="464"/>
      <c r="B202" s="220"/>
      <c r="C202" s="221" t="s">
        <v>74</v>
      </c>
      <c r="D202" s="222"/>
      <c r="E202" s="222"/>
      <c r="F202" s="222"/>
      <c r="G202" s="223"/>
      <c r="H202" s="231" t="s">
        <v>75</v>
      </c>
      <c r="I202" s="225">
        <f t="shared" ref="I202:J202" ca="1" si="100">I209</f>
        <v>138</v>
      </c>
      <c r="J202" s="225">
        <f t="shared" ca="1" si="100"/>
        <v>6</v>
      </c>
      <c r="K202" s="226">
        <f ca="1">IF(I202&gt;0,J202*100/I202,0)</f>
        <v>4.3478260869565215</v>
      </c>
      <c r="L202" s="227"/>
      <c r="M202" s="227"/>
      <c r="N202" s="227"/>
      <c r="O202" s="227"/>
      <c r="P202" s="465"/>
    </row>
    <row r="203" spans="1:16" ht="19.5">
      <c r="A203" s="438"/>
      <c r="B203" s="42"/>
      <c r="C203" s="126" t="s">
        <v>14</v>
      </c>
      <c r="D203" s="228" t="s">
        <v>15</v>
      </c>
      <c r="E203" s="42"/>
      <c r="F203" s="42"/>
      <c r="G203" s="44"/>
      <c r="H203" s="229" t="s">
        <v>12</v>
      </c>
      <c r="I203" s="132"/>
      <c r="J203" s="132"/>
      <c r="K203" s="133"/>
      <c r="L203" s="129">
        <f ca="1">L204+L205+L206+L207</f>
        <v>1894000</v>
      </c>
      <c r="M203" s="47"/>
      <c r="N203" s="129">
        <f ca="1">N204+N205+N206+N207</f>
        <v>74367</v>
      </c>
      <c r="O203" s="129">
        <f ca="1">IF(L203&gt;0,N203*100/L203,0)</f>
        <v>3.9264519535374869</v>
      </c>
      <c r="P203" s="439"/>
    </row>
    <row r="204" spans="1:16" ht="18.75">
      <c r="A204" s="438"/>
      <c r="B204" s="219"/>
      <c r="C204" s="42"/>
      <c r="D204" s="232" t="s">
        <v>76</v>
      </c>
      <c r="E204" s="42"/>
      <c r="F204" s="42"/>
      <c r="G204" s="44"/>
      <c r="H204" s="131" t="s">
        <v>12</v>
      </c>
      <c r="I204" s="132"/>
      <c r="J204" s="132"/>
      <c r="K204" s="133"/>
      <c r="L204" s="48">
        <f ca="1">IFERROR(__xludf.DUMMYFUNCTION("IMPORTRANGE(""https://docs.google.com/spreadsheets/d/1-XHdCZLVuuLs4PEabQnSVXw00PPYzJqGd1hkCriq2gk/edit?usp=sharing"",""พระราชดำริ!AA7"")"),138000)</f>
        <v>138000</v>
      </c>
      <c r="M204" s="47"/>
      <c r="N204" s="48">
        <f ca="1">IFERROR(__xludf.DUMMYFUNCTION("IMPORTRANGE(""https://docs.google.com/spreadsheets/d/1-XHdCZLVuuLs4PEabQnSVXw00PPYzJqGd1hkCriq2gk/edit?usp=sharing"",""พระราชดำริ!AB7"")"),7360)</f>
        <v>7360</v>
      </c>
      <c r="O204" s="148"/>
      <c r="P204" s="448"/>
    </row>
    <row r="205" spans="1:16" ht="18.75">
      <c r="A205" s="463"/>
      <c r="B205" s="219"/>
      <c r="C205" s="42"/>
      <c r="D205" s="233" t="s">
        <v>77</v>
      </c>
      <c r="E205" s="42"/>
      <c r="F205" s="42"/>
      <c r="G205" s="44"/>
      <c r="H205" s="45" t="s">
        <v>12</v>
      </c>
      <c r="I205" s="46"/>
      <c r="J205" s="46"/>
      <c r="K205" s="47"/>
      <c r="L205" s="48">
        <v>0</v>
      </c>
      <c r="M205" s="47"/>
      <c r="N205" s="48">
        <v>0</v>
      </c>
      <c r="O205" s="148"/>
      <c r="P205" s="448"/>
    </row>
    <row r="206" spans="1:16" ht="18.75">
      <c r="A206" s="463"/>
      <c r="B206" s="219"/>
      <c r="C206" s="42"/>
      <c r="D206" s="233" t="s">
        <v>78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IFERROR(__xludf.DUMMYFUNCTION("IMPORTRANGE(""https://docs.google.com/spreadsheets/d/1-XHdCZLVuuLs4PEabQnSVXw00PPYzJqGd1hkCriq2gk/edit?usp=sharing"",""พระราชดำริ!AD7"")"),1104000)</f>
        <v>1104000</v>
      </c>
      <c r="M206" s="47"/>
      <c r="N206" s="48">
        <f ca="1">IFERROR(__xludf.DUMMYFUNCTION("IMPORTRANGE(""https://docs.google.com/spreadsheets/d/1-XHdCZLVuuLs4PEabQnSVXw00PPYzJqGd1hkCriq2gk/edit?usp=sharing"",""พระราชดำริ!AE7"")"),67007)</f>
        <v>67007</v>
      </c>
      <c r="O206" s="148"/>
      <c r="P206" s="448"/>
    </row>
    <row r="207" spans="1:16" ht="18.75">
      <c r="A207" s="463"/>
      <c r="B207" s="219"/>
      <c r="C207" s="42"/>
      <c r="D207" s="233" t="s">
        <v>79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IFERROR(__xludf.DUMMYFUNCTION("IMPORTRANGE(""https://docs.google.com/spreadsheets/d/1-XHdCZLVuuLs4PEabQnSVXw00PPYzJqGd1hkCriq2gk/edit?usp=sharing"",""พระราชดำริ!AG7"")"),652000)</f>
        <v>652000</v>
      </c>
      <c r="M207" s="47"/>
      <c r="N207" s="48">
        <f ca="1">IFERROR(__xludf.DUMMYFUNCTION("IMPORTRANGE(""https://docs.google.com/spreadsheets/d/1-XHdCZLVuuLs4PEabQnSVXw00PPYzJqGd1hkCriq2gk/edit?usp=sharing"",""พระราชดำริ!AH7"")"),0)</f>
        <v>0</v>
      </c>
      <c r="O207" s="148"/>
      <c r="P207" s="448"/>
    </row>
    <row r="208" spans="1:16" ht="19.5">
      <c r="A208" s="440"/>
      <c r="B208" s="135"/>
      <c r="C208" s="126" t="s">
        <v>14</v>
      </c>
      <c r="D208" s="136" t="s">
        <v>34</v>
      </c>
      <c r="E208" s="137"/>
      <c r="F208" s="137"/>
      <c r="G208" s="138"/>
      <c r="H208" s="139"/>
      <c r="I208" s="132"/>
      <c r="J208" s="132"/>
      <c r="K208" s="133"/>
      <c r="L208" s="133"/>
      <c r="M208" s="133"/>
      <c r="N208" s="133"/>
      <c r="O208" s="133"/>
      <c r="P208" s="441"/>
    </row>
    <row r="209" spans="1:16" ht="18.75">
      <c r="A209" s="440"/>
      <c r="B209" s="135"/>
      <c r="C209" s="135"/>
      <c r="D209" s="140" t="s">
        <v>80</v>
      </c>
      <c r="E209" s="141"/>
      <c r="F209" s="141"/>
      <c r="G209" s="139"/>
      <c r="H209" s="234" t="s">
        <v>75</v>
      </c>
      <c r="I209" s="158">
        <f ca="1">IFERROR(__xludf.DUMMYFUNCTION("IMPORTRANGE(""https://docs.google.com/spreadsheets/d/1-XHdCZLVuuLs4PEabQnSVXw00PPYzJqGd1hkCriq2gk/edit?usp=sharing"",""พระราชดำริ!AJ7"")"),138)</f>
        <v>138</v>
      </c>
      <c r="J209" s="158">
        <f ca="1">IFERROR(__xludf.DUMMYFUNCTION("IMPORTRANGE(""https://docs.google.com/spreadsheets/d/1-XHdCZLVuuLs4PEabQnSVXw00PPYzJqGd1hkCriq2gk/edit?usp=sharing"",""พระราชดำริ!AK7"")"),6)</f>
        <v>6</v>
      </c>
      <c r="K209" s="148">
        <f ca="1">IF(I209&gt;0,J209*100/I209,0)</f>
        <v>4.3478260869565215</v>
      </c>
      <c r="L209" s="47"/>
      <c r="M209" s="47"/>
      <c r="N209" s="47"/>
      <c r="O209" s="47"/>
      <c r="P209" s="448"/>
    </row>
    <row r="210" spans="1:16" ht="18.75">
      <c r="A210" s="440"/>
      <c r="B210" s="135"/>
      <c r="C210" s="135"/>
      <c r="D210" s="145" t="s">
        <v>46</v>
      </c>
      <c r="E210" s="141"/>
      <c r="F210" s="141"/>
      <c r="G210" s="139"/>
      <c r="H210" s="139"/>
      <c r="I210" s="46"/>
      <c r="J210" s="46"/>
      <c r="K210" s="133"/>
      <c r="L210" s="47"/>
      <c r="M210" s="47"/>
      <c r="N210" s="47"/>
      <c r="O210" s="47"/>
      <c r="P210" s="448"/>
    </row>
    <row r="211" spans="1:16" ht="18.75">
      <c r="A211" s="440"/>
      <c r="B211" s="135"/>
      <c r="C211" s="135"/>
      <c r="D211" s="141"/>
      <c r="E211" s="145" t="s">
        <v>81</v>
      </c>
      <c r="F211" s="141"/>
      <c r="G211" s="139"/>
      <c r="H211" s="234" t="s">
        <v>75</v>
      </c>
      <c r="I211" s="158">
        <v>0</v>
      </c>
      <c r="J211" s="158">
        <f ca="1">IFERROR(__xludf.DUMMYFUNCTION("IMPORTRANGE(""https://docs.google.com/spreadsheets/d/1-XHdCZLVuuLs4PEabQnSVXw00PPYzJqGd1hkCriq2gk/edit?usp=sharing"",""พระราชดำริ!AM7"")"),0)</f>
        <v>0</v>
      </c>
      <c r="K211" s="148">
        <f t="shared" ref="K211:K213" si="101">IF(I211&gt;0,J211*100/I211,0)</f>
        <v>0</v>
      </c>
      <c r="L211" s="47"/>
      <c r="M211" s="47"/>
      <c r="N211" s="47"/>
      <c r="O211" s="47"/>
      <c r="P211" s="448"/>
    </row>
    <row r="212" spans="1:16" ht="18.75">
      <c r="A212" s="440"/>
      <c r="B212" s="135"/>
      <c r="C212" s="135"/>
      <c r="D212" s="141"/>
      <c r="E212" s="145" t="s">
        <v>82</v>
      </c>
      <c r="F212" s="141"/>
      <c r="G212" s="141"/>
      <c r="H212" s="146" t="s">
        <v>83</v>
      </c>
      <c r="I212" s="158">
        <v>0</v>
      </c>
      <c r="J212" s="158">
        <f ca="1">IFERROR(__xludf.DUMMYFUNCTION("IMPORTRANGE(""https://docs.google.com/spreadsheets/d/1-XHdCZLVuuLs4PEabQnSVXw00PPYzJqGd1hkCriq2gk/edit?usp=sharing"",""พระราชดำริ!AN7"")"),0)</f>
        <v>0</v>
      </c>
      <c r="K212" s="148">
        <f t="shared" si="101"/>
        <v>0</v>
      </c>
      <c r="L212" s="47"/>
      <c r="M212" s="47"/>
      <c r="N212" s="47"/>
      <c r="O212" s="47"/>
      <c r="P212" s="448"/>
    </row>
    <row r="213" spans="1:16" ht="19.5">
      <c r="A213" s="464"/>
      <c r="B213" s="220"/>
      <c r="C213" s="221" t="s">
        <v>84</v>
      </c>
      <c r="D213" s="222"/>
      <c r="E213" s="222"/>
      <c r="F213" s="222"/>
      <c r="G213" s="223"/>
      <c r="H213" s="231" t="s">
        <v>75</v>
      </c>
      <c r="I213" s="225">
        <f t="shared" ref="I213:J213" ca="1" si="102">I220</f>
        <v>45</v>
      </c>
      <c r="J213" s="225">
        <f t="shared" ca="1" si="102"/>
        <v>1</v>
      </c>
      <c r="K213" s="226">
        <f t="shared" ca="1" si="101"/>
        <v>2.2222222222222223</v>
      </c>
      <c r="L213" s="227"/>
      <c r="M213" s="227"/>
      <c r="N213" s="227"/>
      <c r="O213" s="227"/>
      <c r="P213" s="465"/>
    </row>
    <row r="214" spans="1:16" ht="19.5">
      <c r="A214" s="438"/>
      <c r="B214" s="42"/>
      <c r="C214" s="126" t="s">
        <v>14</v>
      </c>
      <c r="D214" s="228" t="s">
        <v>15</v>
      </c>
      <c r="E214" s="42"/>
      <c r="F214" s="42"/>
      <c r="G214" s="44"/>
      <c r="H214" s="229" t="s">
        <v>12</v>
      </c>
      <c r="I214" s="132"/>
      <c r="J214" s="132"/>
      <c r="K214" s="133"/>
      <c r="L214" s="129">
        <f ca="1">L215+L216+L217</f>
        <v>630000</v>
      </c>
      <c r="M214" s="47"/>
      <c r="N214" s="129">
        <f ca="1">N215+N216+N217</f>
        <v>8240</v>
      </c>
      <c r="O214" s="129">
        <f ca="1">IF(L214&gt;0,N214*100/L214,0)</f>
        <v>1.307936507936508</v>
      </c>
      <c r="P214" s="439"/>
    </row>
    <row r="215" spans="1:16" ht="18.75">
      <c r="A215" s="438"/>
      <c r="B215" s="219"/>
      <c r="C215" s="42"/>
      <c r="D215" s="49" t="s">
        <v>76</v>
      </c>
      <c r="E215" s="42"/>
      <c r="F215" s="42"/>
      <c r="G215" s="44"/>
      <c r="H215" s="131" t="s">
        <v>12</v>
      </c>
      <c r="I215" s="132"/>
      <c r="J215" s="132"/>
      <c r="K215" s="133"/>
      <c r="L215" s="48">
        <f ca="1">IFERROR(__xludf.DUMMYFUNCTION("IMPORTRANGE(""https://docs.google.com/spreadsheets/d/1-XHdCZLVuuLs4PEabQnSVXw00PPYzJqGd1hkCriq2gk/edit?usp=sharing"",""พระราชดำริ!AO7"")"),45000)</f>
        <v>45000</v>
      </c>
      <c r="M215" s="47"/>
      <c r="N215" s="48">
        <f ca="1">IFERROR(__xludf.DUMMYFUNCTION("IMPORTRANGE(""https://docs.google.com/spreadsheets/d/1-XHdCZLVuuLs4PEabQnSVXw00PPYzJqGd1hkCriq2gk/edit?usp=sharing"",""พระราชดำริ!AP7"")"),240)</f>
        <v>240</v>
      </c>
      <c r="O215" s="148"/>
      <c r="P215" s="448"/>
    </row>
    <row r="216" spans="1:16" ht="18.75">
      <c r="A216" s="463"/>
      <c r="B216" s="219"/>
      <c r="C216" s="219"/>
      <c r="D216" s="49" t="s">
        <v>85</v>
      </c>
      <c r="E216" s="42"/>
      <c r="F216" s="42"/>
      <c r="G216" s="44"/>
      <c r="H216" s="131" t="s">
        <v>12</v>
      </c>
      <c r="I216" s="46"/>
      <c r="J216" s="46"/>
      <c r="K216" s="47"/>
      <c r="L216" s="48">
        <f ca="1">IFERROR(__xludf.DUMMYFUNCTION("IMPORTRANGE(""https://docs.google.com/spreadsheets/d/1-XHdCZLVuuLs4PEabQnSVXw00PPYzJqGd1hkCriq2gk/edit?usp=sharing"",""พระราชดำริ!AR7"")"),225000)</f>
        <v>225000</v>
      </c>
      <c r="M216" s="47"/>
      <c r="N216" s="48">
        <f ca="1">IFERROR(__xludf.DUMMYFUNCTION("IMPORTRANGE(""https://docs.google.com/spreadsheets/d/1-XHdCZLVuuLs4PEabQnSVXw00PPYzJqGd1hkCriq2gk/edit?usp=sharing"",""พระราชดำริ!AS7"")"),0)</f>
        <v>0</v>
      </c>
      <c r="O216" s="148"/>
      <c r="P216" s="448"/>
    </row>
    <row r="217" spans="1:16" ht="18.75">
      <c r="A217" s="463"/>
      <c r="B217" s="219"/>
      <c r="C217" s="219"/>
      <c r="D217" s="49" t="s">
        <v>78</v>
      </c>
      <c r="E217" s="42"/>
      <c r="F217" s="42"/>
      <c r="G217" s="44"/>
      <c r="H217" s="131" t="s">
        <v>12</v>
      </c>
      <c r="I217" s="46"/>
      <c r="J217" s="46"/>
      <c r="K217" s="47"/>
      <c r="L217" s="48">
        <f ca="1">IFERROR(__xludf.DUMMYFUNCTION("IMPORTRANGE(""https://docs.google.com/spreadsheets/d/1-XHdCZLVuuLs4PEabQnSVXw00PPYzJqGd1hkCriq2gk/edit?usp=sharing"",""พระราชดำริ!AU7"")"),360000)</f>
        <v>360000</v>
      </c>
      <c r="M217" s="47"/>
      <c r="N217" s="48">
        <f ca="1">IFERROR(__xludf.DUMMYFUNCTION("IMPORTRANGE(""https://docs.google.com/spreadsheets/d/1-XHdCZLVuuLs4PEabQnSVXw00PPYzJqGd1hkCriq2gk/edit?usp=sharing"",""พระราชดำริ!AV7"")"),8000)</f>
        <v>8000</v>
      </c>
      <c r="O217" s="148"/>
      <c r="P217" s="448"/>
    </row>
    <row r="218" spans="1:16" ht="19.5">
      <c r="A218" s="440"/>
      <c r="B218" s="135"/>
      <c r="C218" s="235" t="s">
        <v>14</v>
      </c>
      <c r="D218" s="136" t="s">
        <v>34</v>
      </c>
      <c r="E218" s="137"/>
      <c r="F218" s="137"/>
      <c r="G218" s="138"/>
      <c r="H218" s="139"/>
      <c r="I218" s="132"/>
      <c r="J218" s="46"/>
      <c r="K218" s="47"/>
      <c r="L218" s="47"/>
      <c r="M218" s="47"/>
      <c r="N218" s="47"/>
      <c r="O218" s="133"/>
      <c r="P218" s="441"/>
    </row>
    <row r="219" spans="1:16" ht="18.75">
      <c r="A219" s="440"/>
      <c r="B219" s="135"/>
      <c r="C219" s="135"/>
      <c r="D219" s="140" t="s">
        <v>86</v>
      </c>
      <c r="E219" s="141"/>
      <c r="F219" s="141"/>
      <c r="G219" s="139"/>
      <c r="H219" s="234" t="s">
        <v>75</v>
      </c>
      <c r="I219" s="158">
        <f ca="1">IFERROR(__xludf.DUMMYFUNCTION("IMPORTRANGE(""https://docs.google.com/spreadsheets/d/1-XHdCZLVuuLs4PEabQnSVXw00PPYzJqGd1hkCriq2gk/edit?usp=sharing"",""พระราชดำริ!AX7"")"),45)</f>
        <v>45</v>
      </c>
      <c r="J219" s="158">
        <f ca="1">IFERROR(__xludf.DUMMYFUNCTION("IMPORTRANGE(""https://docs.google.com/spreadsheets/d/1-XHdCZLVuuLs4PEabQnSVXw00PPYzJqGd1hkCriq2gk/edit?usp=sharing"",""พระราชดำริ!AY7"")"),0)</f>
        <v>0</v>
      </c>
      <c r="K219" s="48">
        <f t="shared" ref="K219:K221" ca="1" si="103">IF(I219&gt;0,J219*100/I219,0)</f>
        <v>0</v>
      </c>
      <c r="L219" s="47"/>
      <c r="M219" s="47"/>
      <c r="N219" s="47"/>
      <c r="O219" s="47"/>
      <c r="P219" s="448"/>
    </row>
    <row r="220" spans="1:16" ht="18.75">
      <c r="A220" s="440"/>
      <c r="B220" s="135"/>
      <c r="C220" s="135"/>
      <c r="D220" s="140" t="s">
        <v>87</v>
      </c>
      <c r="E220" s="141"/>
      <c r="F220" s="141"/>
      <c r="G220" s="139"/>
      <c r="H220" s="234" t="s">
        <v>75</v>
      </c>
      <c r="I220" s="158">
        <f ca="1">IFERROR(__xludf.DUMMYFUNCTION("IMPORTRANGE(""https://docs.google.com/spreadsheets/d/1-XHdCZLVuuLs4PEabQnSVXw00PPYzJqGd1hkCriq2gk/edit?usp=sharing"",""พระราชดำริ!BA7"")"),45)</f>
        <v>45</v>
      </c>
      <c r="J220" s="158">
        <f ca="1">IFERROR(__xludf.DUMMYFUNCTION("IMPORTRANGE(""https://docs.google.com/spreadsheets/d/1-XHdCZLVuuLs4PEabQnSVXw00PPYzJqGd1hkCriq2gk/edit?usp=sharing"",""พระราชดำริ!BB7"")"),1)</f>
        <v>1</v>
      </c>
      <c r="K220" s="48">
        <f t="shared" ca="1" si="103"/>
        <v>2.2222222222222223</v>
      </c>
      <c r="L220" s="47"/>
      <c r="M220" s="47"/>
      <c r="N220" s="47"/>
      <c r="O220" s="47"/>
      <c r="P220" s="448"/>
    </row>
    <row r="221" spans="1:16" ht="19.5">
      <c r="A221" s="464"/>
      <c r="B221" s="220"/>
      <c r="C221" s="221" t="s">
        <v>88</v>
      </c>
      <c r="D221" s="222"/>
      <c r="E221" s="222"/>
      <c r="F221" s="222"/>
      <c r="G221" s="223"/>
      <c r="H221" s="224" t="s">
        <v>89</v>
      </c>
      <c r="I221" s="225">
        <f t="shared" ref="I221:J221" ca="1" si="104">I229</f>
        <v>2633000</v>
      </c>
      <c r="J221" s="225">
        <f t="shared" ca="1" si="104"/>
        <v>0</v>
      </c>
      <c r="K221" s="226">
        <f t="shared" ca="1" si="103"/>
        <v>0</v>
      </c>
      <c r="L221" s="227"/>
      <c r="M221" s="227"/>
      <c r="N221" s="227"/>
      <c r="O221" s="227"/>
      <c r="P221" s="465"/>
    </row>
    <row r="222" spans="1:16" ht="19.5">
      <c r="A222" s="438"/>
      <c r="B222" s="42"/>
      <c r="C222" s="126" t="s">
        <v>14</v>
      </c>
      <c r="D222" s="228" t="s">
        <v>15</v>
      </c>
      <c r="E222" s="42"/>
      <c r="F222" s="42"/>
      <c r="G222" s="44"/>
      <c r="H222" s="229" t="s">
        <v>12</v>
      </c>
      <c r="I222" s="132"/>
      <c r="J222" s="132"/>
      <c r="K222" s="133"/>
      <c r="L222" s="129">
        <f ca="1">L223+L224+L225</f>
        <v>487500</v>
      </c>
      <c r="M222" s="47"/>
      <c r="N222" s="129">
        <f ca="1">N223+N224+N225</f>
        <v>0</v>
      </c>
      <c r="O222" s="129">
        <f ca="1">IF(L222&gt;0,N222*100/L222,0)</f>
        <v>0</v>
      </c>
      <c r="P222" s="439"/>
    </row>
    <row r="223" spans="1:16" ht="18.75">
      <c r="A223" s="438"/>
      <c r="B223" s="219"/>
      <c r="C223" s="42"/>
      <c r="D223" s="49" t="s">
        <v>76</v>
      </c>
      <c r="E223" s="42"/>
      <c r="F223" s="42"/>
      <c r="G223" s="44"/>
      <c r="H223" s="131" t="s">
        <v>12</v>
      </c>
      <c r="I223" s="132"/>
      <c r="J223" s="132"/>
      <c r="K223" s="133"/>
      <c r="L223" s="48">
        <f ca="1">IFERROR(__xludf.DUMMYFUNCTION("IMPORTRANGE(""https://docs.google.com/spreadsheets/d/1-XHdCZLVuuLs4PEabQnSVXw00PPYzJqGd1hkCriq2gk/edit?usp=sharing"",""พระราชดำริ!BD7"")"),381000)</f>
        <v>381000</v>
      </c>
      <c r="M223" s="47"/>
      <c r="N223" s="48">
        <f ca="1">IFERROR(__xludf.DUMMYFUNCTION("IMPORTRANGE(""https://docs.google.com/spreadsheets/d/1-XHdCZLVuuLs4PEabQnSVXw00PPYzJqGd1hkCriq2gk/edit?usp=sharing"",""พระราชดำริ!BE7"")"),0)</f>
        <v>0</v>
      </c>
      <c r="O223" s="148"/>
      <c r="P223" s="448"/>
    </row>
    <row r="224" spans="1:16" ht="18.75">
      <c r="A224" s="463"/>
      <c r="B224" s="219"/>
      <c r="C224" s="219"/>
      <c r="D224" s="49" t="s">
        <v>90</v>
      </c>
      <c r="E224" s="42"/>
      <c r="F224" s="42"/>
      <c r="G224" s="44"/>
      <c r="H224" s="131" t="s">
        <v>12</v>
      </c>
      <c r="I224" s="46"/>
      <c r="J224" s="46"/>
      <c r="K224" s="47"/>
      <c r="L224" s="48">
        <f ca="1">IFERROR(__xludf.DUMMYFUNCTION("IMPORTRANGE(""https://docs.google.com/spreadsheets/d/1-XHdCZLVuuLs4PEabQnSVXw00PPYzJqGd1hkCriq2gk/edit?usp=sharing"",""พระราชดำริ!BG7"")"),106500)</f>
        <v>106500</v>
      </c>
      <c r="M224" s="47"/>
      <c r="N224" s="48">
        <f ca="1">IFERROR(__xludf.DUMMYFUNCTION("IMPORTRANGE(""https://docs.google.com/spreadsheets/d/1-XHdCZLVuuLs4PEabQnSVXw00PPYzJqGd1hkCriq2gk/edit?usp=sharing"",""พระราชดำริ!BH7"")"),0)</f>
        <v>0</v>
      </c>
      <c r="O224" s="148"/>
      <c r="P224" s="448"/>
    </row>
    <row r="225" spans="1:16" ht="18.75" hidden="1">
      <c r="A225" s="466"/>
      <c r="B225" s="236"/>
      <c r="C225" s="236"/>
      <c r="D225" s="237"/>
      <c r="E225" s="238"/>
      <c r="F225" s="238"/>
      <c r="G225" s="239"/>
      <c r="H225" s="240"/>
      <c r="I225" s="241"/>
      <c r="J225" s="241"/>
      <c r="K225" s="242"/>
      <c r="L225" s="243"/>
      <c r="M225" s="242"/>
      <c r="N225" s="243"/>
      <c r="O225" s="243"/>
      <c r="P225" s="467"/>
    </row>
    <row r="226" spans="1:16" ht="19.5">
      <c r="A226" s="440"/>
      <c r="B226" s="135"/>
      <c r="C226" s="235" t="s">
        <v>14</v>
      </c>
      <c r="D226" s="136" t="s">
        <v>34</v>
      </c>
      <c r="E226" s="137"/>
      <c r="F226" s="137"/>
      <c r="G226" s="138"/>
      <c r="H226" s="139"/>
      <c r="I226" s="132"/>
      <c r="J226" s="132"/>
      <c r="K226" s="133"/>
      <c r="L226" s="133"/>
      <c r="M226" s="133"/>
      <c r="N226" s="133"/>
      <c r="O226" s="133"/>
      <c r="P226" s="441"/>
    </row>
    <row r="227" spans="1:16" ht="18.75">
      <c r="A227" s="440"/>
      <c r="B227" s="135"/>
      <c r="C227" s="135"/>
      <c r="D227" s="49" t="s">
        <v>91</v>
      </c>
      <c r="E227" s="141"/>
      <c r="F227" s="141"/>
      <c r="G227" s="139"/>
      <c r="H227" s="139"/>
      <c r="I227" s="46"/>
      <c r="J227" s="46"/>
      <c r="K227" s="133"/>
      <c r="L227" s="133"/>
      <c r="M227" s="133"/>
      <c r="N227" s="133"/>
      <c r="O227" s="133"/>
      <c r="P227" s="441"/>
    </row>
    <row r="228" spans="1:16" ht="18.75">
      <c r="A228" s="440"/>
      <c r="B228" s="135"/>
      <c r="C228" s="135"/>
      <c r="D228" s="135"/>
      <c r="E228" s="140" t="s">
        <v>92</v>
      </c>
      <c r="F228" s="141"/>
      <c r="G228" s="139"/>
      <c r="H228" s="146" t="s">
        <v>89</v>
      </c>
      <c r="I228" s="158">
        <f ca="1">IFERROR(__xludf.DUMMYFUNCTION("IMPORTRANGE(""https://docs.google.com/spreadsheets/d/1-XHdCZLVuuLs4PEabQnSVXw00PPYzJqGd1hkCriq2gk/edit?usp=sharing"",""พระราชดำริ!BJ7"")"),2633000)</f>
        <v>2633000</v>
      </c>
      <c r="J228" s="158">
        <f ca="1">IFERROR(__xludf.DUMMYFUNCTION("IMPORTRANGE(""https://docs.google.com/spreadsheets/d/1-XHdCZLVuuLs4PEabQnSVXw00PPYzJqGd1hkCriq2gk/edit?usp=sharing"",""พระราชดำริ!BK7"")"),0)</f>
        <v>0</v>
      </c>
      <c r="K228" s="148">
        <f t="shared" ref="K228:K231" ca="1" si="105">IF(I228&gt;0,J228*100/I228,0)</f>
        <v>0</v>
      </c>
      <c r="L228" s="133"/>
      <c r="M228" s="133"/>
      <c r="N228" s="133"/>
      <c r="O228" s="133"/>
      <c r="P228" s="441"/>
    </row>
    <row r="229" spans="1:16" ht="18.75">
      <c r="A229" s="440"/>
      <c r="B229" s="135"/>
      <c r="C229" s="135"/>
      <c r="D229" s="135"/>
      <c r="E229" s="140" t="s">
        <v>93</v>
      </c>
      <c r="F229" s="141"/>
      <c r="G229" s="139"/>
      <c r="H229" s="146" t="s">
        <v>89</v>
      </c>
      <c r="I229" s="158">
        <f ca="1">IFERROR(__xludf.DUMMYFUNCTION("IMPORTRANGE(""https://docs.google.com/spreadsheets/d/1-XHdCZLVuuLs4PEabQnSVXw00PPYzJqGd1hkCriq2gk/edit?usp=sharing"",""พระราชดำริ!BM7"")"),2633000)</f>
        <v>2633000</v>
      </c>
      <c r="J229" s="158">
        <f ca="1">IFERROR(__xludf.DUMMYFUNCTION("IMPORTRANGE(""https://docs.google.com/spreadsheets/d/1-XHdCZLVuuLs4PEabQnSVXw00PPYzJqGd1hkCriq2gk/edit?usp=sharing"",""พระราชดำริ!BN7"")"),0)</f>
        <v>0</v>
      </c>
      <c r="K229" s="148">
        <f t="shared" ca="1" si="105"/>
        <v>0</v>
      </c>
      <c r="L229" s="47"/>
      <c r="M229" s="47"/>
      <c r="N229" s="47"/>
      <c r="O229" s="47"/>
      <c r="P229" s="448"/>
    </row>
    <row r="230" spans="1:16" ht="18.75">
      <c r="A230" s="440"/>
      <c r="B230" s="135"/>
      <c r="C230" s="135"/>
      <c r="D230" s="49" t="s">
        <v>94</v>
      </c>
      <c r="E230" s="141"/>
      <c r="F230" s="141"/>
      <c r="G230" s="139"/>
      <c r="H230" s="146" t="s">
        <v>31</v>
      </c>
      <c r="I230" s="158">
        <f ca="1">IFERROR(__xludf.DUMMYFUNCTION("IMPORTRANGE(""https://docs.google.com/spreadsheets/d/1-XHdCZLVuuLs4PEabQnSVXw00PPYzJqGd1hkCriq2gk/edit?usp=sharing"",""พระราชดำริ!BP7"")"),0)</f>
        <v>0</v>
      </c>
      <c r="J230" s="158">
        <f ca="1">IFERROR(__xludf.DUMMYFUNCTION("IMPORTRANGE(""https://docs.google.com/spreadsheets/d/1-XHdCZLVuuLs4PEabQnSVXw00PPYzJqGd1hkCriq2gk/edit?usp=sharing"",""พระราชดำริ!BQ7"")"),0)</f>
        <v>0</v>
      </c>
      <c r="K230" s="148">
        <f t="shared" ca="1" si="105"/>
        <v>0</v>
      </c>
      <c r="L230" s="47"/>
      <c r="M230" s="47"/>
      <c r="N230" s="47"/>
      <c r="O230" s="47"/>
      <c r="P230" s="448"/>
    </row>
    <row r="231" spans="1:16" ht="19.5">
      <c r="A231" s="464"/>
      <c r="B231" s="220"/>
      <c r="C231" s="221" t="s">
        <v>95</v>
      </c>
      <c r="D231" s="222"/>
      <c r="E231" s="222"/>
      <c r="F231" s="222"/>
      <c r="G231" s="223"/>
      <c r="H231" s="224" t="s">
        <v>31</v>
      </c>
      <c r="I231" s="225">
        <f t="shared" ref="I231:J231" si="106">I242+I253</f>
        <v>0</v>
      </c>
      <c r="J231" s="225">
        <f t="shared" si="106"/>
        <v>0</v>
      </c>
      <c r="K231" s="226">
        <f t="shared" si="105"/>
        <v>0</v>
      </c>
      <c r="L231" s="227"/>
      <c r="M231" s="227"/>
      <c r="N231" s="227"/>
      <c r="O231" s="227"/>
      <c r="P231" s="465"/>
    </row>
    <row r="232" spans="1:16" ht="19.5">
      <c r="A232" s="438"/>
      <c r="B232" s="42"/>
      <c r="C232" s="126" t="s">
        <v>14</v>
      </c>
      <c r="D232" s="127" t="s">
        <v>15</v>
      </c>
      <c r="E232" s="42"/>
      <c r="F232" s="42"/>
      <c r="G232" s="44"/>
      <c r="H232" s="229" t="s">
        <v>12</v>
      </c>
      <c r="I232" s="132"/>
      <c r="J232" s="132"/>
      <c r="K232" s="133"/>
      <c r="L232" s="129">
        <f ca="1">L233+L234+L235+L236</f>
        <v>2831600</v>
      </c>
      <c r="M232" s="47"/>
      <c r="N232" s="129">
        <f ca="1">N233+N234+N235+N236</f>
        <v>110953</v>
      </c>
      <c r="O232" s="129">
        <f ca="1">IF(L232&gt;0,N232*100/L232,0)</f>
        <v>3.9183853651645713</v>
      </c>
      <c r="P232" s="448"/>
    </row>
    <row r="233" spans="1:16" ht="18.75">
      <c r="A233" s="438"/>
      <c r="B233" s="219"/>
      <c r="C233" s="42"/>
      <c r="D233" s="49" t="s">
        <v>76</v>
      </c>
      <c r="E233" s="42"/>
      <c r="F233" s="42"/>
      <c r="G233" s="44"/>
      <c r="H233" s="131" t="s">
        <v>12</v>
      </c>
      <c r="I233" s="132"/>
      <c r="J233" s="132"/>
      <c r="K233" s="133"/>
      <c r="L233" s="48">
        <f ca="1">IFERROR(__xludf.DUMMYFUNCTION("IMPORTRANGE(""https://docs.google.com/spreadsheets/d/1-XHdCZLVuuLs4PEabQnSVXw00PPYzJqGd1hkCriq2gk/edit?usp=sharing"",""พระราชดำริ!BS7"")"),1070300)</f>
        <v>1070300</v>
      </c>
      <c r="M233" s="47"/>
      <c r="N233" s="48">
        <f ca="1">IFERROR(__xludf.DUMMYFUNCTION("IMPORTRANGE(""https://docs.google.com/spreadsheets/d/1-XHdCZLVuuLs4PEabQnSVXw00PPYzJqGd1hkCriq2gk/edit?usp=sharing"",""พระราชดำริ!BT7"")"),56253)</f>
        <v>56253</v>
      </c>
      <c r="O233" s="47"/>
      <c r="P233" s="448"/>
    </row>
    <row r="234" spans="1:16" ht="18.75">
      <c r="A234" s="463"/>
      <c r="B234" s="219"/>
      <c r="C234" s="219"/>
      <c r="D234" s="49" t="s">
        <v>78</v>
      </c>
      <c r="E234" s="42"/>
      <c r="F234" s="42"/>
      <c r="G234" s="44"/>
      <c r="H234" s="131" t="s">
        <v>12</v>
      </c>
      <c r="I234" s="46"/>
      <c r="J234" s="46"/>
      <c r="K234" s="47"/>
      <c r="L234" s="48">
        <f ca="1">IFERROR(__xludf.DUMMYFUNCTION("IMPORTRANGE(""https://docs.google.com/spreadsheets/d/1-XHdCZLVuuLs4PEabQnSVXw00PPYzJqGd1hkCriq2gk/edit?usp=sharing"",""พระราชดำริ!BV7"")"),59000)</f>
        <v>59000</v>
      </c>
      <c r="M234" s="47"/>
      <c r="N234" s="48">
        <f ca="1">IFERROR(__xludf.DUMMYFUNCTION("IMPORTRANGE(""https://docs.google.com/spreadsheets/d/1-XHdCZLVuuLs4PEabQnSVXw00PPYzJqGd1hkCriq2gk/edit?usp=sharing"",""พระราชดำริ!BW7"")"),42100)</f>
        <v>42100</v>
      </c>
      <c r="O234" s="47"/>
      <c r="P234" s="448"/>
    </row>
    <row r="235" spans="1:16" ht="18.75">
      <c r="A235" s="463"/>
      <c r="B235" s="219"/>
      <c r="C235" s="219"/>
      <c r="D235" s="49" t="s">
        <v>96</v>
      </c>
      <c r="E235" s="42"/>
      <c r="F235" s="42"/>
      <c r="G235" s="44"/>
      <c r="H235" s="131" t="s">
        <v>12</v>
      </c>
      <c r="I235" s="46"/>
      <c r="J235" s="46"/>
      <c r="K235" s="47"/>
      <c r="L235" s="48">
        <f ca="1">IFERROR(__xludf.DUMMYFUNCTION("IMPORTRANGE(""https://docs.google.com/spreadsheets/d/1-XHdCZLVuuLs4PEabQnSVXw00PPYzJqGd1hkCriq2gk/edit?usp=sharing"",""พระราชดำริ!BY7"")"),945300)</f>
        <v>945300</v>
      </c>
      <c r="M235" s="47"/>
      <c r="N235" s="48">
        <f ca="1">IFERROR(__xludf.DUMMYFUNCTION("IMPORTRANGE(""https://docs.google.com/spreadsheets/d/1-XHdCZLVuuLs4PEabQnSVXw00PPYzJqGd1hkCriq2gk/edit?usp=sharing"",""พระราชดำริ!BZ7"")"),12600)</f>
        <v>12600</v>
      </c>
      <c r="O235" s="47"/>
      <c r="P235" s="448"/>
    </row>
    <row r="236" spans="1:16" ht="18.75">
      <c r="A236" s="463"/>
      <c r="B236" s="219"/>
      <c r="C236" s="219"/>
      <c r="D236" s="49" t="s">
        <v>97</v>
      </c>
      <c r="E236" s="42"/>
      <c r="F236" s="42"/>
      <c r="G236" s="44"/>
      <c r="H236" s="131" t="s">
        <v>12</v>
      </c>
      <c r="I236" s="46"/>
      <c r="J236" s="46"/>
      <c r="K236" s="47"/>
      <c r="L236" s="48">
        <f ca="1">IFERROR(__xludf.DUMMYFUNCTION("IMPORTRANGE(""https://docs.google.com/spreadsheets/d/1-XHdCZLVuuLs4PEabQnSVXw00PPYzJqGd1hkCriq2gk/edit?usp=sharing"",""พระราชดำริ!CB7"")"),757000)</f>
        <v>757000</v>
      </c>
      <c r="M236" s="47"/>
      <c r="N236" s="48">
        <f ca="1">IFERROR(__xludf.DUMMYFUNCTION("IMPORTRANGE(""https://docs.google.com/spreadsheets/d/1-XHdCZLVuuLs4PEabQnSVXw00PPYzJqGd1hkCriq2gk/edit?usp=sharing"",""พระราชดำริ!CC7"")"),0)</f>
        <v>0</v>
      </c>
      <c r="O236" s="47"/>
      <c r="P236" s="448"/>
    </row>
    <row r="237" spans="1:16" ht="19.5">
      <c r="A237" s="440"/>
      <c r="B237" s="135"/>
      <c r="C237" s="235" t="s">
        <v>14</v>
      </c>
      <c r="D237" s="136" t="s">
        <v>34</v>
      </c>
      <c r="E237" s="137"/>
      <c r="F237" s="137"/>
      <c r="G237" s="138"/>
      <c r="H237" s="139"/>
      <c r="I237" s="132"/>
      <c r="J237" s="46"/>
      <c r="K237" s="47"/>
      <c r="L237" s="47"/>
      <c r="M237" s="47"/>
      <c r="N237" s="47"/>
      <c r="O237" s="133"/>
      <c r="P237" s="441"/>
    </row>
    <row r="238" spans="1:16" ht="18.75">
      <c r="A238" s="440"/>
      <c r="B238" s="135"/>
      <c r="C238" s="135"/>
      <c r="D238" s="145" t="s">
        <v>98</v>
      </c>
      <c r="E238" s="141"/>
      <c r="F238" s="141"/>
      <c r="G238" s="139"/>
      <c r="H238" s="146" t="s">
        <v>31</v>
      </c>
      <c r="I238" s="158">
        <f ca="1">IFERROR(__xludf.DUMMYFUNCTION("IMPORTRANGE(""https://docs.google.com/spreadsheets/d/1-XHdCZLVuuLs4PEabQnSVXw00PPYzJqGd1hkCriq2gk/edit?usp=sharing"",""พระราชดำริ!CE7"")"),660)</f>
        <v>660</v>
      </c>
      <c r="J238" s="158">
        <f ca="1">IFERROR(__xludf.DUMMYFUNCTION("IMPORTRANGE(""https://docs.google.com/spreadsheets/d/1-XHdCZLVuuLs4PEabQnSVXw00PPYzJqGd1hkCriq2gk/edit?usp=sharing"",""พระราชดำริ!CF7"")"),40)</f>
        <v>40</v>
      </c>
      <c r="K238" s="48">
        <f ca="1">IF(I238&gt;0,J238*100/I238,0)</f>
        <v>6.0606060606060606</v>
      </c>
      <c r="L238" s="47"/>
      <c r="M238" s="47"/>
      <c r="N238" s="47"/>
      <c r="O238" s="47"/>
      <c r="P238" s="448"/>
    </row>
    <row r="239" spans="1:16" ht="18.75">
      <c r="A239" s="440"/>
      <c r="B239" s="135"/>
      <c r="C239" s="135"/>
      <c r="D239" s="244" t="s">
        <v>39</v>
      </c>
      <c r="E239" s="141"/>
      <c r="F239" s="141"/>
      <c r="G239" s="139"/>
      <c r="H239" s="139"/>
      <c r="I239" s="46"/>
      <c r="J239" s="46"/>
      <c r="K239" s="47"/>
      <c r="L239" s="47"/>
      <c r="M239" s="47"/>
      <c r="N239" s="47"/>
      <c r="O239" s="133"/>
      <c r="P239" s="441"/>
    </row>
    <row r="240" spans="1:16" ht="18.75">
      <c r="A240" s="440"/>
      <c r="B240" s="135"/>
      <c r="C240" s="135"/>
      <c r="D240" s="135"/>
      <c r="E240" s="140" t="s">
        <v>99</v>
      </c>
      <c r="F240" s="141"/>
      <c r="G240" s="139"/>
      <c r="H240" s="146" t="s">
        <v>31</v>
      </c>
      <c r="I240" s="158">
        <v>0</v>
      </c>
      <c r="J240" s="158">
        <f ca="1">IFERROR(__xludf.DUMMYFUNCTION("IMPORTRANGE(""https://docs.google.com/spreadsheets/d/1-XHdCZLVuuLs4PEabQnSVXw00PPYzJqGd1hkCriq2gk/edit?usp=sharing"",""พระราชดำริ!CH7"")"),0)</f>
        <v>0</v>
      </c>
      <c r="K240" s="48">
        <f t="shared" ref="K240:K241" si="107">IF(I240&gt;0,J240*100/I240,0)</f>
        <v>0</v>
      </c>
      <c r="L240" s="47"/>
      <c r="M240" s="47"/>
      <c r="N240" s="47"/>
      <c r="O240" s="47"/>
      <c r="P240" s="448"/>
    </row>
    <row r="241" spans="1:16" ht="18.75">
      <c r="A241" s="440"/>
      <c r="B241" s="135"/>
      <c r="C241" s="135"/>
      <c r="D241" s="135"/>
      <c r="E241" s="140" t="s">
        <v>100</v>
      </c>
      <c r="F241" s="141"/>
      <c r="G241" s="139"/>
      <c r="H241" s="146" t="s">
        <v>52</v>
      </c>
      <c r="I241" s="158">
        <v>0</v>
      </c>
      <c r="J241" s="158">
        <f ca="1">IFERROR(__xludf.DUMMYFUNCTION("IMPORTRANGE(""https://docs.google.com/spreadsheets/d/1-XHdCZLVuuLs4PEabQnSVXw00PPYzJqGd1hkCriq2gk/edit?usp=sharing"",""พระราชดำริ!CI7"")"),0)</f>
        <v>0</v>
      </c>
      <c r="K241" s="48">
        <f t="shared" si="107"/>
        <v>0</v>
      </c>
      <c r="L241" s="47"/>
      <c r="M241" s="47"/>
      <c r="N241" s="47"/>
      <c r="O241" s="47"/>
      <c r="P241" s="448"/>
    </row>
    <row r="242" spans="1:16" ht="19.5" hidden="1">
      <c r="A242" s="468"/>
      <c r="B242" s="245"/>
      <c r="C242" s="246" t="s">
        <v>101</v>
      </c>
      <c r="D242" s="247"/>
      <c r="E242" s="247"/>
      <c r="F242" s="247"/>
      <c r="G242" s="248"/>
      <c r="H242" s="249" t="s">
        <v>31</v>
      </c>
      <c r="I242" s="250"/>
      <c r="J242" s="250"/>
      <c r="K242" s="251"/>
      <c r="L242" s="242"/>
      <c r="M242" s="242"/>
      <c r="N242" s="242"/>
      <c r="O242" s="242"/>
      <c r="P242" s="467"/>
    </row>
    <row r="243" spans="1:16" ht="19.5" hidden="1">
      <c r="A243" s="469"/>
      <c r="B243" s="247"/>
      <c r="C243" s="246" t="s">
        <v>14</v>
      </c>
      <c r="D243" s="252" t="s">
        <v>15</v>
      </c>
      <c r="E243" s="247"/>
      <c r="F243" s="247"/>
      <c r="G243" s="248"/>
      <c r="H243" s="253" t="s">
        <v>12</v>
      </c>
      <c r="I243" s="254"/>
      <c r="J243" s="254"/>
      <c r="K243" s="255"/>
      <c r="L243" s="256"/>
      <c r="M243" s="242"/>
      <c r="N243" s="256"/>
      <c r="O243" s="256"/>
      <c r="P243" s="470"/>
    </row>
    <row r="244" spans="1:16" ht="18.75" hidden="1">
      <c r="A244" s="469"/>
      <c r="B244" s="245"/>
      <c r="C244" s="247"/>
      <c r="D244" s="257" t="s">
        <v>76</v>
      </c>
      <c r="E244" s="247"/>
      <c r="F244" s="247"/>
      <c r="G244" s="248"/>
      <c r="H244" s="258" t="s">
        <v>12</v>
      </c>
      <c r="I244" s="254"/>
      <c r="J244" s="254"/>
      <c r="K244" s="255"/>
      <c r="L244" s="243"/>
      <c r="M244" s="242"/>
      <c r="N244" s="243"/>
      <c r="O244" s="242"/>
      <c r="P244" s="467"/>
    </row>
    <row r="245" spans="1:16" ht="18.75" hidden="1">
      <c r="A245" s="468"/>
      <c r="B245" s="245"/>
      <c r="C245" s="245"/>
      <c r="D245" s="257" t="s">
        <v>78</v>
      </c>
      <c r="E245" s="247"/>
      <c r="F245" s="247"/>
      <c r="G245" s="248"/>
      <c r="H245" s="258" t="s">
        <v>12</v>
      </c>
      <c r="I245" s="254"/>
      <c r="J245" s="254"/>
      <c r="K245" s="255"/>
      <c r="L245" s="243"/>
      <c r="M245" s="242"/>
      <c r="N245" s="243"/>
      <c r="O245" s="242"/>
      <c r="P245" s="467"/>
    </row>
    <row r="246" spans="1:16" ht="18.75" hidden="1">
      <c r="A246" s="468"/>
      <c r="B246" s="245"/>
      <c r="C246" s="245"/>
      <c r="D246" s="257" t="s">
        <v>96</v>
      </c>
      <c r="E246" s="247"/>
      <c r="F246" s="247"/>
      <c r="G246" s="248"/>
      <c r="H246" s="258" t="s">
        <v>12</v>
      </c>
      <c r="I246" s="254"/>
      <c r="J246" s="254"/>
      <c r="K246" s="255"/>
      <c r="L246" s="243"/>
      <c r="M246" s="242"/>
      <c r="N246" s="243"/>
      <c r="O246" s="242"/>
      <c r="P246" s="467"/>
    </row>
    <row r="247" spans="1:16" ht="18.75" hidden="1">
      <c r="A247" s="468"/>
      <c r="B247" s="245"/>
      <c r="C247" s="245"/>
      <c r="D247" s="257" t="s">
        <v>97</v>
      </c>
      <c r="E247" s="247"/>
      <c r="F247" s="247"/>
      <c r="G247" s="248"/>
      <c r="H247" s="258" t="s">
        <v>12</v>
      </c>
      <c r="I247" s="254"/>
      <c r="J247" s="254"/>
      <c r="K247" s="255"/>
      <c r="L247" s="243"/>
      <c r="M247" s="242"/>
      <c r="N247" s="243"/>
      <c r="O247" s="242"/>
      <c r="P247" s="467"/>
    </row>
    <row r="248" spans="1:16" ht="19.5" hidden="1">
      <c r="A248" s="468"/>
      <c r="B248" s="245"/>
      <c r="C248" s="259" t="s">
        <v>14</v>
      </c>
      <c r="D248" s="260" t="s">
        <v>34</v>
      </c>
      <c r="E248" s="247"/>
      <c r="F248" s="247"/>
      <c r="G248" s="248"/>
      <c r="H248" s="248"/>
      <c r="I248" s="254"/>
      <c r="J248" s="254"/>
      <c r="K248" s="255"/>
      <c r="L248" s="242"/>
      <c r="M248" s="242"/>
      <c r="N248" s="242"/>
      <c r="O248" s="242"/>
      <c r="P248" s="467"/>
    </row>
    <row r="249" spans="1:16" ht="18.75" hidden="1">
      <c r="A249" s="468"/>
      <c r="B249" s="245"/>
      <c r="C249" s="245"/>
      <c r="D249" s="257" t="s">
        <v>98</v>
      </c>
      <c r="E249" s="247"/>
      <c r="F249" s="247"/>
      <c r="G249" s="248"/>
      <c r="H249" s="261" t="s">
        <v>31</v>
      </c>
      <c r="I249" s="262"/>
      <c r="J249" s="262"/>
      <c r="K249" s="263"/>
      <c r="L249" s="242"/>
      <c r="M249" s="242"/>
      <c r="N249" s="242"/>
      <c r="O249" s="242"/>
      <c r="P249" s="467"/>
    </row>
    <row r="250" spans="1:16" ht="18.75" hidden="1">
      <c r="A250" s="468"/>
      <c r="B250" s="245"/>
      <c r="C250" s="245"/>
      <c r="D250" s="264" t="s">
        <v>39</v>
      </c>
      <c r="E250" s="247"/>
      <c r="F250" s="247"/>
      <c r="G250" s="248"/>
      <c r="H250" s="248"/>
      <c r="I250" s="254"/>
      <c r="J250" s="254"/>
      <c r="K250" s="255"/>
      <c r="L250" s="242"/>
      <c r="M250" s="242"/>
      <c r="N250" s="242"/>
      <c r="O250" s="242"/>
      <c r="P250" s="467"/>
    </row>
    <row r="251" spans="1:16" ht="18.75" hidden="1">
      <c r="A251" s="468"/>
      <c r="B251" s="245"/>
      <c r="C251" s="245"/>
      <c r="D251" s="245"/>
      <c r="E251" s="265" t="s">
        <v>99</v>
      </c>
      <c r="F251" s="247"/>
      <c r="G251" s="248"/>
      <c r="H251" s="261" t="s">
        <v>31</v>
      </c>
      <c r="I251" s="262"/>
      <c r="J251" s="262"/>
      <c r="K251" s="263"/>
      <c r="L251" s="242"/>
      <c r="M251" s="242"/>
      <c r="N251" s="242"/>
      <c r="O251" s="242"/>
      <c r="P251" s="467"/>
    </row>
    <row r="252" spans="1:16" ht="18.75" hidden="1">
      <c r="A252" s="468"/>
      <c r="B252" s="245"/>
      <c r="C252" s="245"/>
      <c r="D252" s="245"/>
      <c r="E252" s="265" t="s">
        <v>100</v>
      </c>
      <c r="F252" s="247"/>
      <c r="G252" s="248"/>
      <c r="H252" s="261" t="s">
        <v>52</v>
      </c>
      <c r="I252" s="262"/>
      <c r="J252" s="262"/>
      <c r="K252" s="263"/>
      <c r="L252" s="242"/>
      <c r="M252" s="242"/>
      <c r="N252" s="242"/>
      <c r="O252" s="242"/>
      <c r="P252" s="467"/>
    </row>
    <row r="253" spans="1:16" ht="19.5" hidden="1">
      <c r="A253" s="468"/>
      <c r="B253" s="245"/>
      <c r="C253" s="246" t="s">
        <v>102</v>
      </c>
      <c r="D253" s="247"/>
      <c r="E253" s="247"/>
      <c r="F253" s="247"/>
      <c r="G253" s="248"/>
      <c r="H253" s="249" t="s">
        <v>31</v>
      </c>
      <c r="I253" s="250"/>
      <c r="J253" s="250"/>
      <c r="K253" s="251"/>
      <c r="L253" s="242"/>
      <c r="M253" s="242"/>
      <c r="N253" s="242"/>
      <c r="O253" s="242"/>
      <c r="P253" s="467"/>
    </row>
    <row r="254" spans="1:16" ht="19.5" hidden="1">
      <c r="A254" s="469"/>
      <c r="B254" s="247"/>
      <c r="C254" s="246" t="s">
        <v>14</v>
      </c>
      <c r="D254" s="260" t="s">
        <v>15</v>
      </c>
      <c r="E254" s="247"/>
      <c r="F254" s="247"/>
      <c r="G254" s="248"/>
      <c r="H254" s="253" t="s">
        <v>12</v>
      </c>
      <c r="I254" s="254"/>
      <c r="J254" s="254"/>
      <c r="K254" s="255"/>
      <c r="L254" s="256"/>
      <c r="M254" s="242"/>
      <c r="N254" s="256"/>
      <c r="O254" s="256"/>
      <c r="P254" s="470"/>
    </row>
    <row r="255" spans="1:16" ht="18.75" hidden="1">
      <c r="A255" s="469"/>
      <c r="B255" s="245"/>
      <c r="C255" s="247"/>
      <c r="D255" s="257" t="s">
        <v>76</v>
      </c>
      <c r="E255" s="247"/>
      <c r="F255" s="247"/>
      <c r="G255" s="248"/>
      <c r="H255" s="258" t="s">
        <v>12</v>
      </c>
      <c r="I255" s="254"/>
      <c r="J255" s="254"/>
      <c r="K255" s="255"/>
      <c r="L255" s="243"/>
      <c r="M255" s="242"/>
      <c r="N255" s="243"/>
      <c r="O255" s="242"/>
      <c r="P255" s="467"/>
    </row>
    <row r="256" spans="1:16" ht="18.75" hidden="1">
      <c r="A256" s="468"/>
      <c r="B256" s="245"/>
      <c r="C256" s="245"/>
      <c r="D256" s="257" t="s">
        <v>78</v>
      </c>
      <c r="E256" s="247"/>
      <c r="F256" s="247"/>
      <c r="G256" s="248"/>
      <c r="H256" s="258" t="s">
        <v>12</v>
      </c>
      <c r="I256" s="254"/>
      <c r="J256" s="254"/>
      <c r="K256" s="255"/>
      <c r="L256" s="243"/>
      <c r="M256" s="242"/>
      <c r="N256" s="243"/>
      <c r="O256" s="242"/>
      <c r="P256" s="467"/>
    </row>
    <row r="257" spans="1:16" ht="18.75" hidden="1">
      <c r="A257" s="468"/>
      <c r="B257" s="245"/>
      <c r="C257" s="245"/>
      <c r="D257" s="257" t="s">
        <v>96</v>
      </c>
      <c r="E257" s="247"/>
      <c r="F257" s="247"/>
      <c r="G257" s="248"/>
      <c r="H257" s="258" t="s">
        <v>12</v>
      </c>
      <c r="I257" s="254"/>
      <c r="J257" s="254"/>
      <c r="K257" s="255"/>
      <c r="L257" s="243"/>
      <c r="M257" s="242"/>
      <c r="N257" s="243"/>
      <c r="O257" s="242"/>
      <c r="P257" s="467"/>
    </row>
    <row r="258" spans="1:16" ht="18.75" hidden="1">
      <c r="A258" s="468"/>
      <c r="B258" s="245"/>
      <c r="C258" s="245"/>
      <c r="D258" s="257" t="s">
        <v>97</v>
      </c>
      <c r="E258" s="247"/>
      <c r="F258" s="247"/>
      <c r="G258" s="248"/>
      <c r="H258" s="258" t="s">
        <v>12</v>
      </c>
      <c r="I258" s="254"/>
      <c r="J258" s="254"/>
      <c r="K258" s="255"/>
      <c r="L258" s="243"/>
      <c r="M258" s="242"/>
      <c r="N258" s="243"/>
      <c r="O258" s="242"/>
      <c r="P258" s="467"/>
    </row>
    <row r="259" spans="1:16" ht="19.5" hidden="1">
      <c r="A259" s="468"/>
      <c r="B259" s="245"/>
      <c r="C259" s="259" t="s">
        <v>14</v>
      </c>
      <c r="D259" s="260" t="s">
        <v>34</v>
      </c>
      <c r="E259" s="247"/>
      <c r="F259" s="247"/>
      <c r="G259" s="248"/>
      <c r="H259" s="248"/>
      <c r="I259" s="254"/>
      <c r="J259" s="254"/>
      <c r="K259" s="255"/>
      <c r="L259" s="242"/>
      <c r="M259" s="242"/>
      <c r="N259" s="242"/>
      <c r="O259" s="242"/>
      <c r="P259" s="467"/>
    </row>
    <row r="260" spans="1:16" ht="18.75" hidden="1">
      <c r="A260" s="468"/>
      <c r="B260" s="245"/>
      <c r="C260" s="245"/>
      <c r="D260" s="257" t="s">
        <v>98</v>
      </c>
      <c r="E260" s="247"/>
      <c r="F260" s="247"/>
      <c r="G260" s="248"/>
      <c r="H260" s="261" t="s">
        <v>31</v>
      </c>
      <c r="I260" s="262"/>
      <c r="J260" s="262"/>
      <c r="K260" s="263"/>
      <c r="L260" s="242"/>
      <c r="M260" s="242"/>
      <c r="N260" s="242"/>
      <c r="O260" s="242"/>
      <c r="P260" s="467"/>
    </row>
    <row r="261" spans="1:16" ht="18.75" hidden="1">
      <c r="A261" s="468"/>
      <c r="B261" s="245"/>
      <c r="C261" s="245"/>
      <c r="D261" s="264" t="s">
        <v>39</v>
      </c>
      <c r="E261" s="247"/>
      <c r="F261" s="247"/>
      <c r="G261" s="248"/>
      <c r="H261" s="248"/>
      <c r="I261" s="254"/>
      <c r="J261" s="254"/>
      <c r="K261" s="255"/>
      <c r="L261" s="242"/>
      <c r="M261" s="242"/>
      <c r="N261" s="242"/>
      <c r="O261" s="242"/>
      <c r="P261" s="467"/>
    </row>
    <row r="262" spans="1:16" ht="18.75" hidden="1">
      <c r="A262" s="468"/>
      <c r="B262" s="245"/>
      <c r="C262" s="245"/>
      <c r="D262" s="245"/>
      <c r="E262" s="265" t="s">
        <v>99</v>
      </c>
      <c r="F262" s="247"/>
      <c r="G262" s="248"/>
      <c r="H262" s="261" t="s">
        <v>31</v>
      </c>
      <c r="I262" s="254"/>
      <c r="J262" s="262"/>
      <c r="K262" s="263"/>
      <c r="L262" s="242"/>
      <c r="M262" s="242"/>
      <c r="N262" s="242"/>
      <c r="O262" s="242"/>
      <c r="P262" s="467"/>
    </row>
    <row r="263" spans="1:16" ht="18.75" hidden="1">
      <c r="A263" s="468"/>
      <c r="B263" s="245"/>
      <c r="C263" s="245"/>
      <c r="D263" s="245"/>
      <c r="E263" s="265" t="s">
        <v>100</v>
      </c>
      <c r="F263" s="247"/>
      <c r="G263" s="248"/>
      <c r="H263" s="261" t="s">
        <v>52</v>
      </c>
      <c r="I263" s="254"/>
      <c r="J263" s="262"/>
      <c r="K263" s="263"/>
      <c r="L263" s="242"/>
      <c r="M263" s="242"/>
      <c r="N263" s="242"/>
      <c r="O263" s="242"/>
      <c r="P263" s="467"/>
    </row>
    <row r="264" spans="1:16" ht="19.5">
      <c r="A264" s="459" t="s">
        <v>103</v>
      </c>
      <c r="B264" s="206"/>
      <c r="C264" s="206"/>
      <c r="D264" s="207"/>
      <c r="E264" s="207"/>
      <c r="F264" s="207"/>
      <c r="G264" s="208"/>
      <c r="H264" s="208"/>
      <c r="I264" s="209"/>
      <c r="J264" s="209"/>
      <c r="K264" s="210"/>
      <c r="L264" s="210"/>
      <c r="M264" s="210"/>
      <c r="N264" s="210"/>
      <c r="O264" s="210"/>
      <c r="P264" s="460"/>
    </row>
    <row r="265" spans="1:16" ht="19.5">
      <c r="A265" s="461"/>
      <c r="B265" s="211" t="s">
        <v>104</v>
      </c>
      <c r="C265" s="212"/>
      <c r="D265" s="137"/>
      <c r="E265" s="137"/>
      <c r="F265" s="137"/>
      <c r="G265" s="138"/>
      <c r="H265" s="213" t="s">
        <v>31</v>
      </c>
      <c r="I265" s="214">
        <v>0</v>
      </c>
      <c r="J265" s="214">
        <v>0</v>
      </c>
      <c r="K265" s="215">
        <f>IF(I265&gt;0,J265*100/I265,0)</f>
        <v>0</v>
      </c>
      <c r="L265" s="216"/>
      <c r="M265" s="216"/>
      <c r="N265" s="216"/>
      <c r="O265" s="216"/>
      <c r="P265" s="462"/>
    </row>
    <row r="266" spans="1:16" ht="19.5">
      <c r="A266" s="438"/>
      <c r="B266" s="42"/>
      <c r="C266" s="126" t="s">
        <v>14</v>
      </c>
      <c r="D266" s="127" t="s">
        <v>15</v>
      </c>
      <c r="E266" s="42"/>
      <c r="F266" s="42"/>
      <c r="G266" s="44"/>
      <c r="H266" s="128" t="s">
        <v>12</v>
      </c>
      <c r="I266" s="46"/>
      <c r="J266" s="46"/>
      <c r="K266" s="47"/>
      <c r="L266" s="129">
        <f t="shared" ref="L266:N266" ca="1" si="108">L267+L268</f>
        <v>2677400</v>
      </c>
      <c r="M266" s="129">
        <f t="shared" ca="1" si="108"/>
        <v>2035200</v>
      </c>
      <c r="N266" s="129">
        <f t="shared" ca="1" si="108"/>
        <v>0</v>
      </c>
      <c r="O266" s="129">
        <f t="shared" ref="O266:O274" ca="1" si="109">IF(L266&gt;0,N266*100/L266,0)</f>
        <v>0</v>
      </c>
      <c r="P266" s="439">
        <f t="shared" ref="P266:P274" ca="1" si="110">IF(M266&gt;0,N266*100/M266,0)</f>
        <v>0</v>
      </c>
    </row>
    <row r="267" spans="1:16" ht="18.75">
      <c r="A267" s="438"/>
      <c r="B267" s="42"/>
      <c r="C267" s="42"/>
      <c r="D267" s="42"/>
      <c r="E267" s="49" t="s">
        <v>16</v>
      </c>
      <c r="F267" s="42"/>
      <c r="G267" s="44"/>
      <c r="H267" s="130" t="s">
        <v>12</v>
      </c>
      <c r="I267" s="46"/>
      <c r="J267" s="46"/>
      <c r="K267" s="47"/>
      <c r="L267" s="48">
        <f t="shared" ref="L267:N267" ca="1" si="111">L270+L273</f>
        <v>2677400</v>
      </c>
      <c r="M267" s="48">
        <f t="shared" ca="1" si="111"/>
        <v>2035200</v>
      </c>
      <c r="N267" s="48">
        <f t="shared" ca="1" si="111"/>
        <v>0</v>
      </c>
      <c r="O267" s="48">
        <f t="shared" ca="1" si="109"/>
        <v>0</v>
      </c>
      <c r="P267" s="404">
        <f t="shared" ca="1" si="110"/>
        <v>0</v>
      </c>
    </row>
    <row r="268" spans="1:16" ht="18.75">
      <c r="A268" s="438"/>
      <c r="B268" s="42"/>
      <c r="C268" s="42"/>
      <c r="D268" s="42"/>
      <c r="E268" s="49" t="s">
        <v>17</v>
      </c>
      <c r="F268" s="42"/>
      <c r="G268" s="44"/>
      <c r="H268" s="130" t="s">
        <v>12</v>
      </c>
      <c r="I268" s="46"/>
      <c r="J268" s="46"/>
      <c r="K268" s="47"/>
      <c r="L268" s="48">
        <f t="shared" ref="L268:N268" ca="1" si="112">L271+L274</f>
        <v>0</v>
      </c>
      <c r="M268" s="48">
        <f t="shared" ca="1" si="112"/>
        <v>0</v>
      </c>
      <c r="N268" s="48">
        <f t="shared" ca="1" si="112"/>
        <v>0</v>
      </c>
      <c r="O268" s="48">
        <f t="shared" ca="1" si="109"/>
        <v>0</v>
      </c>
      <c r="P268" s="404">
        <f t="shared" ca="1" si="110"/>
        <v>0</v>
      </c>
    </row>
    <row r="269" spans="1:16" ht="18.75">
      <c r="A269" s="438"/>
      <c r="B269" s="42"/>
      <c r="C269" s="42"/>
      <c r="D269" s="43" t="s">
        <v>18</v>
      </c>
      <c r="E269" s="42"/>
      <c r="F269" s="42"/>
      <c r="G269" s="44"/>
      <c r="H269" s="131" t="s">
        <v>12</v>
      </c>
      <c r="I269" s="132"/>
      <c r="J269" s="132"/>
      <c r="K269" s="133"/>
      <c r="L269" s="48">
        <f t="shared" ref="L269:N269" ca="1" si="113">L270+L271</f>
        <v>2677400</v>
      </c>
      <c r="M269" s="48">
        <f t="shared" ca="1" si="113"/>
        <v>2035200</v>
      </c>
      <c r="N269" s="48">
        <f t="shared" ca="1" si="113"/>
        <v>0</v>
      </c>
      <c r="O269" s="48">
        <f t="shared" ca="1" si="109"/>
        <v>0</v>
      </c>
      <c r="P269" s="404">
        <f t="shared" ca="1" si="110"/>
        <v>0</v>
      </c>
    </row>
    <row r="270" spans="1:16" ht="18.75">
      <c r="A270" s="438"/>
      <c r="B270" s="42"/>
      <c r="C270" s="42"/>
      <c r="D270" s="42"/>
      <c r="E270" s="49" t="s">
        <v>32</v>
      </c>
      <c r="F270" s="42"/>
      <c r="G270" s="44"/>
      <c r="H270" s="131" t="s">
        <v>12</v>
      </c>
      <c r="I270" s="132"/>
      <c r="J270" s="132"/>
      <c r="K270" s="133"/>
      <c r="L270" s="48">
        <f ca="1">IFERROR(__xludf.DUMMYFUNCTION("IMPORTRANGE(""https://docs.google.com/spreadsheets/d/1-uDff_7J0KD5mKrp0Vvzr7lt3OU09vwQwhkpOPPYv2Y/edit?usp=sharing"",""งบพรบ!DE9"")"),2677400)</f>
        <v>2677400</v>
      </c>
      <c r="M270" s="48">
        <f ca="1">IFERROR(__xludf.DUMMYFUNCTION("IMPORTRANGE(""https://docs.google.com/spreadsheets/d/1-uDff_7J0KD5mKrp0Vvzr7lt3OU09vwQwhkpOPPYv2Y/edit?usp=sharing"",""งบพรบ!DJ9"")"),2035200)</f>
        <v>2035200</v>
      </c>
      <c r="N270" s="48">
        <f ca="1">IFERROR(__xludf.DUMMYFUNCTION("IMPORTRANGE(""https://docs.google.com/spreadsheets/d/1-uDff_7J0KD5mKrp0Vvzr7lt3OU09vwQwhkpOPPYv2Y/edit?usp=sharing"",""งบพรบ!DL9"")"),0)</f>
        <v>0</v>
      </c>
      <c r="O270" s="48">
        <f t="shared" ca="1" si="109"/>
        <v>0</v>
      </c>
      <c r="P270" s="404">
        <f t="shared" ca="1" si="110"/>
        <v>0</v>
      </c>
    </row>
    <row r="271" spans="1:16" ht="18.75">
      <c r="A271" s="438"/>
      <c r="B271" s="42"/>
      <c r="C271" s="42"/>
      <c r="D271" s="42"/>
      <c r="E271" s="49" t="s">
        <v>33</v>
      </c>
      <c r="F271" s="42"/>
      <c r="G271" s="44"/>
      <c r="H271" s="131" t="s">
        <v>12</v>
      </c>
      <c r="I271" s="132"/>
      <c r="J271" s="132"/>
      <c r="K271" s="133"/>
      <c r="L271" s="48">
        <f ca="1">IFERROR(__xludf.DUMMYFUNCTION("IMPORTRANGE(""https://docs.google.com/spreadsheets/d/1-uDff_7J0KD5mKrp0Vvzr7lt3OU09vwQwhkpOPPYv2Y/edit?usp=sharing"",""งบพรบ!DE8"")"),0)</f>
        <v>0</v>
      </c>
      <c r="M271" s="48">
        <f ca="1">IFERROR(__xludf.DUMMYFUNCTION("IMPORTRANGE(""https://docs.google.com/spreadsheets/d/1-uDff_7J0KD5mKrp0Vvzr7lt3OU09vwQwhkpOPPYv2Y/edit?usp=sharing"",""งบพรบ!DJ8"")"),0)</f>
        <v>0</v>
      </c>
      <c r="N271" s="48">
        <f ca="1">IFERROR(__xludf.DUMMYFUNCTION("IMPORTRANGE(""https://docs.google.com/spreadsheets/d/1-uDff_7J0KD5mKrp0Vvzr7lt3OU09vwQwhkpOPPYv2Y/edit?usp=sharing"",""งบพรบ!DL8"")"),0)</f>
        <v>0</v>
      </c>
      <c r="O271" s="48">
        <f t="shared" ca="1" si="109"/>
        <v>0</v>
      </c>
      <c r="P271" s="404">
        <f t="shared" ca="1" si="110"/>
        <v>0</v>
      </c>
    </row>
    <row r="272" spans="1:16" ht="18.75">
      <c r="A272" s="438"/>
      <c r="B272" s="42"/>
      <c r="C272" s="42"/>
      <c r="D272" s="43" t="s">
        <v>19</v>
      </c>
      <c r="E272" s="42"/>
      <c r="F272" s="42"/>
      <c r="G272" s="44"/>
      <c r="H272" s="134" t="s">
        <v>12</v>
      </c>
      <c r="I272" s="132"/>
      <c r="J272" s="132"/>
      <c r="K272" s="133"/>
      <c r="L272" s="48">
        <f t="shared" ref="L272:N272" ca="1" si="114">L273+L274</f>
        <v>0</v>
      </c>
      <c r="M272" s="48">
        <f t="shared" ca="1" si="114"/>
        <v>0</v>
      </c>
      <c r="N272" s="48">
        <f t="shared" ca="1" si="114"/>
        <v>0</v>
      </c>
      <c r="O272" s="48">
        <f t="shared" ca="1" si="109"/>
        <v>0</v>
      </c>
      <c r="P272" s="404">
        <f t="shared" ca="1" si="110"/>
        <v>0</v>
      </c>
    </row>
    <row r="273" spans="1:16" ht="18.75">
      <c r="A273" s="438"/>
      <c r="B273" s="42"/>
      <c r="C273" s="42"/>
      <c r="D273" s="42"/>
      <c r="E273" s="49" t="s">
        <v>16</v>
      </c>
      <c r="F273" s="42"/>
      <c r="G273" s="44"/>
      <c r="H273" s="131" t="s">
        <v>12</v>
      </c>
      <c r="I273" s="132"/>
      <c r="J273" s="132"/>
      <c r="K273" s="133"/>
      <c r="L273" s="48">
        <f ca="1">IFERROR(__xludf.DUMMYFUNCTION("IMPORTRANGE(""https://docs.google.com/spreadsheets/d/1-uDff_7J0KD5mKrp0Vvzr7lt3OU09vwQwhkpOPPYv2Y/edit?usp=sharing"",""งบพรบ!DH9"")"),0)</f>
        <v>0</v>
      </c>
      <c r="M273" s="48">
        <f ca="1">IFERROR(__xludf.DUMMYFUNCTION("IMPORTRANGE(""https://docs.google.com/spreadsheets/d/1-uDff_7J0KD5mKrp0Vvzr7lt3OU09vwQwhkpOPPYv2Y/edit?usp=sharing"",""งบพรบ!DK9"")"),0)</f>
        <v>0</v>
      </c>
      <c r="N273" s="48">
        <f ca="1">IFERROR(__xludf.DUMMYFUNCTION("IMPORTRANGE(""https://docs.google.com/spreadsheets/d/1-uDff_7J0KD5mKrp0Vvzr7lt3OU09vwQwhkpOPPYv2Y/edit?usp=sharing"",""งบพรบ!DM9"")"),0)</f>
        <v>0</v>
      </c>
      <c r="O273" s="48">
        <f t="shared" ca="1" si="109"/>
        <v>0</v>
      </c>
      <c r="P273" s="404">
        <f t="shared" ca="1" si="110"/>
        <v>0</v>
      </c>
    </row>
    <row r="274" spans="1:16" ht="18.75">
      <c r="A274" s="438"/>
      <c r="B274" s="42"/>
      <c r="C274" s="42"/>
      <c r="D274" s="42"/>
      <c r="E274" s="49" t="s">
        <v>17</v>
      </c>
      <c r="F274" s="42"/>
      <c r="G274" s="44"/>
      <c r="H274" s="134" t="s">
        <v>12</v>
      </c>
      <c r="I274" s="132"/>
      <c r="J274" s="132"/>
      <c r="K274" s="133"/>
      <c r="L274" s="48">
        <f ca="1">IFERROR(__xludf.DUMMYFUNCTION("IMPORTRANGE(""https://docs.google.com/spreadsheets/d/1-uDff_7J0KD5mKrp0Vvzr7lt3OU09vwQwhkpOPPYv2Y/edit?usp=sharing"",""งบพรบ!DH8"")"),0)</f>
        <v>0</v>
      </c>
      <c r="M274" s="48">
        <f ca="1">IFERROR(__xludf.DUMMYFUNCTION("IMPORTRANGE(""https://docs.google.com/spreadsheets/d/1-uDff_7J0KD5mKrp0Vvzr7lt3OU09vwQwhkpOPPYv2Y/edit?usp=sharing"",""งบพรบ!DK8"")"),0)</f>
        <v>0</v>
      </c>
      <c r="N274" s="48">
        <f ca="1">IFERROR(__xludf.DUMMYFUNCTION("IMPORTRANGE(""https://docs.google.com/spreadsheets/d/1-uDff_7J0KD5mKrp0Vvzr7lt3OU09vwQwhkpOPPYv2Y/edit?usp=sharing"",""งบพรบ!DM8"")"),0)</f>
        <v>0</v>
      </c>
      <c r="O274" s="48">
        <f t="shared" ca="1" si="109"/>
        <v>0</v>
      </c>
      <c r="P274" s="404">
        <f t="shared" ca="1" si="110"/>
        <v>0</v>
      </c>
    </row>
    <row r="275" spans="1:16" ht="19.5">
      <c r="A275" s="440"/>
      <c r="B275" s="135"/>
      <c r="C275" s="49" t="s">
        <v>14</v>
      </c>
      <c r="D275" s="136" t="s">
        <v>34</v>
      </c>
      <c r="E275" s="137"/>
      <c r="F275" s="137"/>
      <c r="G275" s="138"/>
      <c r="H275" s="139"/>
      <c r="I275" s="132"/>
      <c r="J275" s="132"/>
      <c r="K275" s="133"/>
      <c r="L275" s="133"/>
      <c r="M275" s="133"/>
      <c r="N275" s="133"/>
      <c r="O275" s="133"/>
      <c r="P275" s="441"/>
    </row>
    <row r="276" spans="1:16" ht="18.75" hidden="1">
      <c r="A276" s="471"/>
      <c r="B276" s="170"/>
      <c r="C276" s="170"/>
      <c r="D276" s="266"/>
      <c r="E276" s="9"/>
      <c r="F276" s="9"/>
      <c r="G276" s="12"/>
      <c r="H276" s="18"/>
      <c r="I276" s="171"/>
      <c r="J276" s="171"/>
      <c r="K276" s="19"/>
      <c r="L276" s="15"/>
      <c r="M276" s="15"/>
      <c r="N276" s="15"/>
      <c r="O276" s="15"/>
      <c r="P276" s="443"/>
    </row>
    <row r="277" spans="1:16" ht="18.75">
      <c r="A277" s="472"/>
      <c r="B277" s="473"/>
      <c r="C277" s="473"/>
      <c r="D277" s="474" t="s">
        <v>105</v>
      </c>
      <c r="E277" s="444"/>
      <c r="F277" s="444"/>
      <c r="G277" s="267"/>
      <c r="H277" s="110" t="s">
        <v>31</v>
      </c>
      <c r="I277" s="201">
        <v>0</v>
      </c>
      <c r="J277" s="201">
        <v>0</v>
      </c>
      <c r="K277" s="268">
        <v>0</v>
      </c>
      <c r="L277" s="269"/>
      <c r="M277" s="269"/>
      <c r="N277" s="269"/>
      <c r="O277" s="269"/>
      <c r="P277" s="475"/>
    </row>
    <row r="278" spans="1:16" ht="19.5">
      <c r="A278" s="476" t="s">
        <v>106</v>
      </c>
      <c r="B278" s="270"/>
      <c r="C278" s="270"/>
      <c r="D278" s="270"/>
      <c r="E278" s="271"/>
      <c r="F278" s="271"/>
      <c r="G278" s="271"/>
      <c r="H278" s="271"/>
      <c r="I278" s="272"/>
      <c r="J278" s="272"/>
      <c r="K278" s="273"/>
      <c r="L278" s="274"/>
      <c r="M278" s="274"/>
      <c r="N278" s="274"/>
      <c r="O278" s="274"/>
      <c r="P278" s="477"/>
    </row>
    <row r="279" spans="1:16" ht="19.5">
      <c r="A279" s="478" t="s">
        <v>107</v>
      </c>
      <c r="B279" s="275"/>
      <c r="C279" s="276"/>
      <c r="D279" s="275"/>
      <c r="E279" s="275"/>
      <c r="F279" s="275"/>
      <c r="G279" s="275"/>
      <c r="H279" s="275"/>
      <c r="I279" s="277"/>
      <c r="J279" s="278"/>
      <c r="K279" s="279"/>
      <c r="L279" s="279"/>
      <c r="M279" s="279"/>
      <c r="N279" s="279"/>
      <c r="O279" s="279"/>
      <c r="P279" s="479"/>
    </row>
    <row r="280" spans="1:16" ht="19.5">
      <c r="A280" s="480"/>
      <c r="B280" s="280" t="s">
        <v>108</v>
      </c>
      <c r="C280" s="281"/>
      <c r="D280" s="282"/>
      <c r="E280" s="281"/>
      <c r="F280" s="281"/>
      <c r="G280" s="283"/>
      <c r="H280" s="284" t="s">
        <v>31</v>
      </c>
      <c r="I280" s="285">
        <f t="shared" ref="I280:J280" ca="1" si="115">I293</f>
        <v>660</v>
      </c>
      <c r="J280" s="285">
        <f t="shared" ca="1" si="115"/>
        <v>130</v>
      </c>
      <c r="K280" s="286">
        <f t="shared" ref="K280:K281" ca="1" si="116">IF(I280&gt;0,J280*100/I280,0)</f>
        <v>19.696969696969695</v>
      </c>
      <c r="L280" s="287"/>
      <c r="M280" s="287"/>
      <c r="N280" s="287"/>
      <c r="O280" s="287"/>
      <c r="P280" s="481"/>
    </row>
    <row r="281" spans="1:16" ht="19.5">
      <c r="A281" s="480"/>
      <c r="B281" s="281"/>
      <c r="C281" s="281"/>
      <c r="D281" s="282"/>
      <c r="E281" s="281"/>
      <c r="F281" s="281"/>
      <c r="G281" s="283"/>
      <c r="H281" s="284" t="s">
        <v>42</v>
      </c>
      <c r="I281" s="285">
        <f t="shared" ref="I281:J281" ca="1" si="117">I292</f>
        <v>6600</v>
      </c>
      <c r="J281" s="285">
        <f t="shared" ca="1" si="117"/>
        <v>1300</v>
      </c>
      <c r="K281" s="286">
        <f t="shared" ca="1" si="116"/>
        <v>19.696969696969695</v>
      </c>
      <c r="L281" s="287"/>
      <c r="M281" s="287"/>
      <c r="N281" s="287"/>
      <c r="O281" s="287"/>
      <c r="P281" s="481"/>
    </row>
    <row r="282" spans="1:16" ht="19.5">
      <c r="A282" s="438"/>
      <c r="B282" s="42"/>
      <c r="C282" s="126" t="s">
        <v>14</v>
      </c>
      <c r="D282" s="127" t="s">
        <v>15</v>
      </c>
      <c r="E282" s="42"/>
      <c r="F282" s="42"/>
      <c r="G282" s="44"/>
      <c r="H282" s="128" t="s">
        <v>12</v>
      </c>
      <c r="I282" s="46"/>
      <c r="J282" s="46"/>
      <c r="K282" s="47"/>
      <c r="L282" s="129">
        <f t="shared" ref="L282:N282" ca="1" si="118">L283+L284</f>
        <v>4729400</v>
      </c>
      <c r="M282" s="129">
        <f t="shared" ca="1" si="118"/>
        <v>3796600</v>
      </c>
      <c r="N282" s="129">
        <f t="shared" ca="1" si="118"/>
        <v>621538.41</v>
      </c>
      <c r="O282" s="129">
        <f t="shared" ref="O282:O290" ca="1" si="119">IF(L282&gt;0,N282*100/L282,0)</f>
        <v>13.142013997547258</v>
      </c>
      <c r="P282" s="439">
        <f t="shared" ref="P282:P290" ca="1" si="120">IF(M282&gt;0,N282*100/M282,0)</f>
        <v>16.370921614075751</v>
      </c>
    </row>
    <row r="283" spans="1:16" ht="18.75">
      <c r="A283" s="438"/>
      <c r="B283" s="42"/>
      <c r="C283" s="42"/>
      <c r="D283" s="42"/>
      <c r="E283" s="49" t="s">
        <v>16</v>
      </c>
      <c r="F283" s="42"/>
      <c r="G283" s="44"/>
      <c r="H283" s="130" t="s">
        <v>12</v>
      </c>
      <c r="I283" s="46"/>
      <c r="J283" s="46"/>
      <c r="K283" s="47"/>
      <c r="L283" s="48">
        <f t="shared" ref="L283:N283" ca="1" si="121">L286+L289</f>
        <v>1224200</v>
      </c>
      <c r="M283" s="48">
        <f t="shared" ca="1" si="121"/>
        <v>1004100</v>
      </c>
      <c r="N283" s="48">
        <f t="shared" ca="1" si="121"/>
        <v>111918.11</v>
      </c>
      <c r="O283" s="48">
        <f t="shared" ca="1" si="119"/>
        <v>9.1421426237542889</v>
      </c>
      <c r="P283" s="404">
        <f t="shared" ca="1" si="120"/>
        <v>11.146111941041729</v>
      </c>
    </row>
    <row r="284" spans="1:16" ht="18.75">
      <c r="A284" s="438"/>
      <c r="B284" s="42"/>
      <c r="C284" s="42"/>
      <c r="D284" s="42"/>
      <c r="E284" s="49" t="s">
        <v>17</v>
      </c>
      <c r="F284" s="42"/>
      <c r="G284" s="44"/>
      <c r="H284" s="130" t="s">
        <v>12</v>
      </c>
      <c r="I284" s="46"/>
      <c r="J284" s="46"/>
      <c r="K284" s="47"/>
      <c r="L284" s="48">
        <f t="shared" ref="L284:N284" ca="1" si="122">L287+L290</f>
        <v>3505200</v>
      </c>
      <c r="M284" s="48">
        <f t="shared" ca="1" si="122"/>
        <v>2792500</v>
      </c>
      <c r="N284" s="48">
        <f t="shared" ca="1" si="122"/>
        <v>509620.3</v>
      </c>
      <c r="O284" s="48">
        <f t="shared" ca="1" si="119"/>
        <v>14.538979230857013</v>
      </c>
      <c r="P284" s="404">
        <f t="shared" ca="1" si="120"/>
        <v>18.2496078782453</v>
      </c>
    </row>
    <row r="285" spans="1:16" ht="18.75">
      <c r="A285" s="438"/>
      <c r="B285" s="42"/>
      <c r="C285" s="42"/>
      <c r="D285" s="43" t="s">
        <v>18</v>
      </c>
      <c r="E285" s="42"/>
      <c r="F285" s="42"/>
      <c r="G285" s="44"/>
      <c r="H285" s="131" t="s">
        <v>12</v>
      </c>
      <c r="I285" s="132"/>
      <c r="J285" s="132"/>
      <c r="K285" s="133"/>
      <c r="L285" s="48">
        <f t="shared" ref="L285:N285" ca="1" si="123">L286+L287</f>
        <v>4729400</v>
      </c>
      <c r="M285" s="48">
        <f t="shared" ca="1" si="123"/>
        <v>3796600</v>
      </c>
      <c r="N285" s="48">
        <f t="shared" ca="1" si="123"/>
        <v>621538.41</v>
      </c>
      <c r="O285" s="48">
        <f t="shared" ca="1" si="119"/>
        <v>13.142013997547258</v>
      </c>
      <c r="P285" s="404">
        <f t="shared" ca="1" si="120"/>
        <v>16.370921614075751</v>
      </c>
    </row>
    <row r="286" spans="1:16" ht="18.75">
      <c r="A286" s="438"/>
      <c r="B286" s="42"/>
      <c r="C286" s="42"/>
      <c r="D286" s="42"/>
      <c r="E286" s="49" t="s">
        <v>32</v>
      </c>
      <c r="F286" s="42"/>
      <c r="G286" s="44"/>
      <c r="H286" s="131" t="s">
        <v>12</v>
      </c>
      <c r="I286" s="132"/>
      <c r="J286" s="132"/>
      <c r="K286" s="133"/>
      <c r="L286" s="48">
        <f ca="1">IFERROR(__xludf.DUMMYFUNCTION("IMPORTRANGE(""https://docs.google.com/spreadsheets/d/1-uDff_7J0KD5mKrp0Vvzr7lt3OU09vwQwhkpOPPYv2Y/edit?usp=sharing"",""งบพรบ!DO9"")"),1224200)</f>
        <v>1224200</v>
      </c>
      <c r="M286" s="48">
        <f ca="1">IFERROR(__xludf.DUMMYFUNCTION("IMPORTRANGE(""https://docs.google.com/spreadsheets/d/1-uDff_7J0KD5mKrp0Vvzr7lt3OU09vwQwhkpOPPYv2Y/edit?usp=sharing"",""งบพรบ!DT9"")"),1004100)</f>
        <v>1004100</v>
      </c>
      <c r="N286" s="48">
        <f ca="1">IFERROR(__xludf.DUMMYFUNCTION("IMPORTRANGE(""https://docs.google.com/spreadsheets/d/1-uDff_7J0KD5mKrp0Vvzr7lt3OU09vwQwhkpOPPYv2Y/edit?usp=sharing"",""งบพรบ!DV9"")"),111918.11)</f>
        <v>111918.11</v>
      </c>
      <c r="O286" s="48">
        <f t="shared" ca="1" si="119"/>
        <v>9.1421426237542889</v>
      </c>
      <c r="P286" s="404">
        <f t="shared" ca="1" si="120"/>
        <v>11.146111941041729</v>
      </c>
    </row>
    <row r="287" spans="1:16" ht="18.75">
      <c r="A287" s="438"/>
      <c r="B287" s="42"/>
      <c r="C287" s="42"/>
      <c r="D287" s="42"/>
      <c r="E287" s="49" t="s">
        <v>33</v>
      </c>
      <c r="F287" s="42"/>
      <c r="G287" s="44"/>
      <c r="H287" s="131" t="s">
        <v>12</v>
      </c>
      <c r="I287" s="132"/>
      <c r="J287" s="132"/>
      <c r="K287" s="133"/>
      <c r="L287" s="48">
        <f ca="1">IFERROR(__xludf.DUMMYFUNCTION("IMPORTRANGE(""https://docs.google.com/spreadsheets/d/1-uDff_7J0KD5mKrp0Vvzr7lt3OU09vwQwhkpOPPYv2Y/edit?usp=sharing"",""งบพรบ!DO8"")"),3505200)</f>
        <v>3505200</v>
      </c>
      <c r="M287" s="48">
        <f ca="1">IFERROR(__xludf.DUMMYFUNCTION("IMPORTRANGE(""https://docs.google.com/spreadsheets/d/1-uDff_7J0KD5mKrp0Vvzr7lt3OU09vwQwhkpOPPYv2Y/edit?usp=sharing"",""งบพรบ!DT8"")"),2792500)</f>
        <v>2792500</v>
      </c>
      <c r="N287" s="48">
        <f ca="1">IFERROR(__xludf.DUMMYFUNCTION("IMPORTRANGE(""https://docs.google.com/spreadsheets/d/1-uDff_7J0KD5mKrp0Vvzr7lt3OU09vwQwhkpOPPYv2Y/edit?usp=sharing"",""งบพรบ!DV8"")"),509620.3)</f>
        <v>509620.3</v>
      </c>
      <c r="O287" s="48">
        <f t="shared" ca="1" si="119"/>
        <v>14.538979230857013</v>
      </c>
      <c r="P287" s="404">
        <f t="shared" ca="1" si="120"/>
        <v>18.2496078782453</v>
      </c>
    </row>
    <row r="288" spans="1:16" ht="18.75">
      <c r="A288" s="438"/>
      <c r="B288" s="42"/>
      <c r="C288" s="42"/>
      <c r="D288" s="43" t="s">
        <v>19</v>
      </c>
      <c r="E288" s="42"/>
      <c r="F288" s="42"/>
      <c r="G288" s="44"/>
      <c r="H288" s="134" t="s">
        <v>12</v>
      </c>
      <c r="I288" s="132"/>
      <c r="J288" s="132"/>
      <c r="K288" s="133"/>
      <c r="L288" s="48">
        <f t="shared" ref="L288:N288" ca="1" si="124">L289+L290</f>
        <v>0</v>
      </c>
      <c r="M288" s="48">
        <f t="shared" ca="1" si="124"/>
        <v>0</v>
      </c>
      <c r="N288" s="48">
        <f t="shared" ca="1" si="124"/>
        <v>0</v>
      </c>
      <c r="O288" s="48">
        <f t="shared" ca="1" si="119"/>
        <v>0</v>
      </c>
      <c r="P288" s="404">
        <f t="shared" ca="1" si="120"/>
        <v>0</v>
      </c>
    </row>
    <row r="289" spans="1:16" ht="18.75">
      <c r="A289" s="438"/>
      <c r="B289" s="42"/>
      <c r="C289" s="42"/>
      <c r="D289" s="42"/>
      <c r="E289" s="49" t="s">
        <v>16</v>
      </c>
      <c r="F289" s="42"/>
      <c r="G289" s="44"/>
      <c r="H289" s="131" t="s">
        <v>12</v>
      </c>
      <c r="I289" s="132"/>
      <c r="J289" s="132"/>
      <c r="K289" s="133"/>
      <c r="L289" s="48">
        <f ca="1">IFERROR(__xludf.DUMMYFUNCTION("IMPORTRANGE(""https://docs.google.com/spreadsheets/d/1-uDff_7J0KD5mKrp0Vvzr7lt3OU09vwQwhkpOPPYv2Y/edit?usp=sharing"",""งบพรบ!DR9"")"),0)</f>
        <v>0</v>
      </c>
      <c r="M289" s="48">
        <f ca="1">IFERROR(__xludf.DUMMYFUNCTION("IMPORTRANGE(""https://docs.google.com/spreadsheets/d/1-uDff_7J0KD5mKrp0Vvzr7lt3OU09vwQwhkpOPPYv2Y/edit?usp=sharing"",""งบพรบ!DU9"")"),0)</f>
        <v>0</v>
      </c>
      <c r="N289" s="48">
        <f ca="1">IFERROR(__xludf.DUMMYFUNCTION("IMPORTRANGE(""https://docs.google.com/spreadsheets/d/1-uDff_7J0KD5mKrp0Vvzr7lt3OU09vwQwhkpOPPYv2Y/edit?usp=sharing"",""งบพรบ!DW9"")"),0)</f>
        <v>0</v>
      </c>
      <c r="O289" s="48">
        <f t="shared" ca="1" si="119"/>
        <v>0</v>
      </c>
      <c r="P289" s="404">
        <f t="shared" ca="1" si="120"/>
        <v>0</v>
      </c>
    </row>
    <row r="290" spans="1:16" ht="18.75">
      <c r="A290" s="438"/>
      <c r="B290" s="42"/>
      <c r="C290" s="42"/>
      <c r="D290" s="42"/>
      <c r="E290" s="49" t="s">
        <v>17</v>
      </c>
      <c r="F290" s="42"/>
      <c r="G290" s="44"/>
      <c r="H290" s="134" t="s">
        <v>12</v>
      </c>
      <c r="I290" s="132"/>
      <c r="J290" s="132"/>
      <c r="K290" s="133"/>
      <c r="L290" s="48">
        <f ca="1">IFERROR(__xludf.DUMMYFUNCTION("IMPORTRANGE(""https://docs.google.com/spreadsheets/d/1-uDff_7J0KD5mKrp0Vvzr7lt3OU09vwQwhkpOPPYv2Y/edit?usp=sharing"",""งบพรบ!DR8"")"),0)</f>
        <v>0</v>
      </c>
      <c r="M290" s="48">
        <f ca="1">IFERROR(__xludf.DUMMYFUNCTION("IMPORTRANGE(""https://docs.google.com/spreadsheets/d/1-uDff_7J0KD5mKrp0Vvzr7lt3OU09vwQwhkpOPPYv2Y/edit?usp=sharing"",""งบพรบ!DU8"")"),0)</f>
        <v>0</v>
      </c>
      <c r="N290" s="48">
        <f ca="1">IFERROR(__xludf.DUMMYFUNCTION("IMPORTRANGE(""https://docs.google.com/spreadsheets/d/1-uDff_7J0KD5mKrp0Vvzr7lt3OU09vwQwhkpOPPYv2Y/edit?usp=sharing"",""งบพรบ!DW8"")"),0)</f>
        <v>0</v>
      </c>
      <c r="O290" s="48">
        <f t="shared" ca="1" si="119"/>
        <v>0</v>
      </c>
      <c r="P290" s="404">
        <f t="shared" ca="1" si="120"/>
        <v>0</v>
      </c>
    </row>
    <row r="291" spans="1:16" ht="19.5">
      <c r="A291" s="440"/>
      <c r="B291" s="135"/>
      <c r="C291" s="126" t="s">
        <v>14</v>
      </c>
      <c r="D291" s="136" t="s">
        <v>34</v>
      </c>
      <c r="E291" s="137"/>
      <c r="F291" s="137"/>
      <c r="G291" s="138"/>
      <c r="H291" s="139"/>
      <c r="I291" s="132"/>
      <c r="J291" s="132"/>
      <c r="K291" s="133"/>
      <c r="L291" s="133"/>
      <c r="M291" s="133"/>
      <c r="N291" s="133"/>
      <c r="O291" s="133"/>
      <c r="P291" s="441"/>
    </row>
    <row r="292" spans="1:16" ht="18.75">
      <c r="A292" s="440"/>
      <c r="B292" s="135"/>
      <c r="C292" s="135"/>
      <c r="D292" s="145" t="s">
        <v>109</v>
      </c>
      <c r="E292" s="135"/>
      <c r="F292" s="141"/>
      <c r="G292" s="139"/>
      <c r="H292" s="149" t="s">
        <v>42</v>
      </c>
      <c r="I292" s="158">
        <f ca="1">IFERROR(__xludf.DUMMYFUNCTION("IMPORTRANGE(""https://docs.google.com/spreadsheets/d/1-XHdCZLVuuLs4PEabQnSVXw00PPYzJqGd1hkCriq2gk/edit?usp=sharing"",""เฝ้าระวังการเผา!R7"")"),6600)</f>
        <v>6600</v>
      </c>
      <c r="J292" s="158">
        <f ca="1">IFERROR(__xludf.DUMMYFUNCTION("IMPORTRANGE(""https://docs.google.com/spreadsheets/d/1-XHdCZLVuuLs4PEabQnSVXw00PPYzJqGd1hkCriq2gk/edit?usp=sharing"",""เฝ้าระวังการเผา!S7"")"),1300)</f>
        <v>1300</v>
      </c>
      <c r="K292" s="148">
        <f t="shared" ref="K292:K293" ca="1" si="125">IF(I292&gt;0,J292*100/I292,0)</f>
        <v>19.696969696969695</v>
      </c>
      <c r="L292" s="133"/>
      <c r="M292" s="133"/>
      <c r="N292" s="133"/>
      <c r="O292" s="133"/>
      <c r="P292" s="441"/>
    </row>
    <row r="293" spans="1:16" ht="19.5">
      <c r="A293" s="440"/>
      <c r="B293" s="135"/>
      <c r="C293" s="135"/>
      <c r="D293" s="145" t="s">
        <v>110</v>
      </c>
      <c r="E293" s="135"/>
      <c r="F293" s="141"/>
      <c r="G293" s="139"/>
      <c r="H293" s="142" t="s">
        <v>31</v>
      </c>
      <c r="I293" s="143">
        <f ca="1">IFERROR(__xludf.DUMMYFUNCTION("IMPORTRANGE(""https://docs.google.com/spreadsheets/d/1-XHdCZLVuuLs4PEabQnSVXw00PPYzJqGd1hkCriq2gk/edit?usp=sharing"",""เฝ้าระวังการเผา!U7"")"),660)</f>
        <v>660</v>
      </c>
      <c r="J293" s="143">
        <f ca="1">IFERROR(__xludf.DUMMYFUNCTION("IMPORTRANGE(""https://docs.google.com/spreadsheets/d/1-XHdCZLVuuLs4PEabQnSVXw00PPYzJqGd1hkCriq2gk/edit?usp=sharing"",""เฝ้าระวังการเผา!V7"")"),130)</f>
        <v>130</v>
      </c>
      <c r="K293" s="144">
        <f t="shared" ca="1" si="125"/>
        <v>19.696969696969695</v>
      </c>
      <c r="L293" s="133"/>
      <c r="M293" s="133"/>
      <c r="N293" s="133"/>
      <c r="O293" s="133"/>
      <c r="P293" s="441"/>
    </row>
    <row r="294" spans="1:16" ht="19.5">
      <c r="A294" s="440"/>
      <c r="B294" s="135"/>
      <c r="C294" s="135"/>
      <c r="D294" s="141"/>
      <c r="E294" s="157" t="s">
        <v>148</v>
      </c>
      <c r="F294" s="141"/>
      <c r="G294" s="139"/>
      <c r="H294" s="139"/>
      <c r="I294" s="132"/>
      <c r="J294" s="46"/>
      <c r="K294" s="133"/>
      <c r="L294" s="133"/>
      <c r="M294" s="133"/>
      <c r="N294" s="133"/>
      <c r="O294" s="133"/>
      <c r="P294" s="441"/>
    </row>
    <row r="295" spans="1:16" ht="19.5">
      <c r="A295" s="440"/>
      <c r="B295" s="135"/>
      <c r="C295" s="135"/>
      <c r="D295" s="141"/>
      <c r="E295" s="145" t="s">
        <v>149</v>
      </c>
      <c r="F295" s="141"/>
      <c r="G295" s="139"/>
      <c r="H295" s="146" t="s">
        <v>31</v>
      </c>
      <c r="I295" s="147">
        <f ca="1">IFERROR(__xludf.DUMMYFUNCTION("IMPORTRANGE(""https://docs.google.com/spreadsheets/d/1-XHdCZLVuuLs4PEabQnSVXw00PPYzJqGd1hkCriq2gk/edit?usp=sharing"",""เฝ้าระวังการเผา!X7"")"),660)</f>
        <v>660</v>
      </c>
      <c r="J295" s="158">
        <f ca="1">IFERROR(__xludf.DUMMYFUNCTION("IMPORTRANGE(""https://docs.google.com/spreadsheets/d/1-XHdCZLVuuLs4PEabQnSVXw00PPYzJqGd1hkCriq2gk/edit?usp=sharing"",""เฝ้าระวังการเผา!Y7"")"),130)</f>
        <v>130</v>
      </c>
      <c r="K295" s="148">
        <f t="shared" ref="K295:K296" ca="1" si="126">IF(I295&gt;0,J295*100/I295,0)</f>
        <v>19.696969696969695</v>
      </c>
      <c r="L295" s="133"/>
      <c r="M295" s="133"/>
      <c r="N295" s="133"/>
      <c r="O295" s="133"/>
      <c r="P295" s="441"/>
    </row>
    <row r="296" spans="1:16" ht="19.5">
      <c r="A296" s="440"/>
      <c r="B296" s="135"/>
      <c r="C296" s="135"/>
      <c r="D296" s="141"/>
      <c r="E296" s="145" t="s">
        <v>150</v>
      </c>
      <c r="F296" s="141"/>
      <c r="G296" s="139"/>
      <c r="H296" s="146" t="s">
        <v>31</v>
      </c>
      <c r="I296" s="147">
        <f ca="1">IFERROR(__xludf.DUMMYFUNCTION("IMPORTRANGE(""https://docs.google.com/spreadsheets/d/1-XHdCZLVuuLs4PEabQnSVXw00PPYzJqGd1hkCriq2gk/edit?usp=sharing"",""เฝ้าระวังการเผา!X7"")"),660)</f>
        <v>660</v>
      </c>
      <c r="J296" s="158">
        <f ca="1">IFERROR(__xludf.DUMMYFUNCTION("IMPORTRANGE(""https://docs.google.com/spreadsheets/d/1-XHdCZLVuuLs4PEabQnSVXw00PPYzJqGd1hkCriq2gk/edit?usp=sharing"",""เฝ้าระวังการเผา!AA7"")"),130)</f>
        <v>130</v>
      </c>
      <c r="K296" s="148">
        <f t="shared" ca="1" si="126"/>
        <v>19.696969696969695</v>
      </c>
      <c r="L296" s="133"/>
      <c r="M296" s="133"/>
      <c r="N296" s="133"/>
      <c r="O296" s="133"/>
      <c r="P296" s="441"/>
    </row>
    <row r="297" spans="1:16" ht="19.5" hidden="1">
      <c r="A297" s="471"/>
      <c r="B297" s="170"/>
      <c r="C297" s="170"/>
      <c r="D297" s="9"/>
      <c r="E297" s="10"/>
      <c r="F297" s="9"/>
      <c r="G297" s="12"/>
      <c r="H297" s="12"/>
      <c r="I297" s="14"/>
      <c r="J297" s="14"/>
      <c r="K297" s="15"/>
      <c r="L297" s="15"/>
      <c r="M297" s="15"/>
      <c r="N297" s="15"/>
      <c r="O297" s="15"/>
      <c r="P297" s="443"/>
    </row>
    <row r="298" spans="1:16" ht="18.75" hidden="1">
      <c r="A298" s="471"/>
      <c r="B298" s="170"/>
      <c r="C298" s="170"/>
      <c r="D298" s="9"/>
      <c r="E298" s="17"/>
      <c r="F298" s="9"/>
      <c r="G298" s="12"/>
      <c r="H298" s="18"/>
      <c r="I298" s="171"/>
      <c r="J298" s="171"/>
      <c r="K298" s="19"/>
      <c r="L298" s="15"/>
      <c r="M298" s="15"/>
      <c r="N298" s="15"/>
      <c r="O298" s="15"/>
      <c r="P298" s="443"/>
    </row>
    <row r="299" spans="1:16" ht="18.75" hidden="1">
      <c r="A299" s="482"/>
      <c r="B299" s="483"/>
      <c r="C299" s="483"/>
      <c r="D299" s="484"/>
      <c r="E299" s="485"/>
      <c r="F299" s="484"/>
      <c r="G299" s="288"/>
      <c r="H299" s="289"/>
      <c r="I299" s="290"/>
      <c r="J299" s="290"/>
      <c r="K299" s="291"/>
      <c r="L299" s="292"/>
      <c r="M299" s="292"/>
      <c r="N299" s="292"/>
      <c r="O299" s="292"/>
      <c r="P299" s="486"/>
    </row>
    <row r="300" spans="1:16" ht="19.5">
      <c r="A300" s="487" t="s">
        <v>111</v>
      </c>
      <c r="B300" s="293"/>
      <c r="C300" s="293"/>
      <c r="D300" s="293"/>
      <c r="E300" s="294"/>
      <c r="F300" s="294"/>
      <c r="G300" s="294"/>
      <c r="H300" s="294"/>
      <c r="I300" s="295"/>
      <c r="J300" s="295"/>
      <c r="K300" s="296"/>
      <c r="L300" s="296"/>
      <c r="M300" s="296"/>
      <c r="N300" s="296"/>
      <c r="O300" s="296"/>
      <c r="P300" s="488"/>
    </row>
    <row r="301" spans="1:16" ht="19.5">
      <c r="A301" s="489" t="s">
        <v>112</v>
      </c>
      <c r="B301" s="297"/>
      <c r="C301" s="297"/>
      <c r="D301" s="298"/>
      <c r="E301" s="298"/>
      <c r="F301" s="298"/>
      <c r="G301" s="299"/>
      <c r="H301" s="299"/>
      <c r="I301" s="300"/>
      <c r="J301" s="300"/>
      <c r="K301" s="301"/>
      <c r="L301" s="301"/>
      <c r="M301" s="301"/>
      <c r="N301" s="301"/>
      <c r="O301" s="301"/>
      <c r="P301" s="490"/>
    </row>
    <row r="302" spans="1:16" ht="19.5">
      <c r="A302" s="491"/>
      <c r="B302" s="302" t="s">
        <v>113</v>
      </c>
      <c r="C302" s="303"/>
      <c r="D302" s="303"/>
      <c r="E302" s="303"/>
      <c r="F302" s="303"/>
      <c r="G302" s="304"/>
      <c r="H302" s="305" t="s">
        <v>31</v>
      </c>
      <c r="I302" s="306">
        <f t="shared" ref="I302:J302" ca="1" si="127">I314</f>
        <v>530</v>
      </c>
      <c r="J302" s="306">
        <f t="shared" ca="1" si="127"/>
        <v>25</v>
      </c>
      <c r="K302" s="307">
        <f ca="1">IF(I302&gt;0,J302*100/I302,0)</f>
        <v>4.716981132075472</v>
      </c>
      <c r="L302" s="308"/>
      <c r="M302" s="308"/>
      <c r="N302" s="308"/>
      <c r="O302" s="308"/>
      <c r="P302" s="492"/>
    </row>
    <row r="303" spans="1:16" ht="19.5">
      <c r="A303" s="438"/>
      <c r="B303" s="42"/>
      <c r="C303" s="126" t="s">
        <v>14</v>
      </c>
      <c r="D303" s="127" t="s">
        <v>15</v>
      </c>
      <c r="E303" s="42"/>
      <c r="F303" s="42"/>
      <c r="G303" s="44"/>
      <c r="H303" s="128" t="s">
        <v>12</v>
      </c>
      <c r="I303" s="46"/>
      <c r="J303" s="46"/>
      <c r="K303" s="47"/>
      <c r="L303" s="129">
        <f t="shared" ref="L303:N303" ca="1" si="128">L304+L305</f>
        <v>5557300</v>
      </c>
      <c r="M303" s="129">
        <f t="shared" ca="1" si="128"/>
        <v>4385900</v>
      </c>
      <c r="N303" s="129">
        <f t="shared" ca="1" si="128"/>
        <v>469453.99</v>
      </c>
      <c r="O303" s="129">
        <f t="shared" ref="O303:O311" ca="1" si="129">IF(L303&gt;0,N303*100/L303,0)</f>
        <v>8.4475192989401329</v>
      </c>
      <c r="P303" s="439">
        <f t="shared" ref="P303:P311" ca="1" si="130">IF(M303&gt;0,N303*100/M303,0)</f>
        <v>10.703709386898925</v>
      </c>
    </row>
    <row r="304" spans="1:16" ht="18.75">
      <c r="A304" s="438"/>
      <c r="B304" s="42"/>
      <c r="C304" s="42"/>
      <c r="D304" s="42"/>
      <c r="E304" s="49" t="s">
        <v>16</v>
      </c>
      <c r="F304" s="42"/>
      <c r="G304" s="44"/>
      <c r="H304" s="130" t="s">
        <v>12</v>
      </c>
      <c r="I304" s="46"/>
      <c r="J304" s="46"/>
      <c r="K304" s="47"/>
      <c r="L304" s="48">
        <f t="shared" ref="L304:N304" ca="1" si="131">L307+L310</f>
        <v>1129300</v>
      </c>
      <c r="M304" s="48">
        <f t="shared" ca="1" si="131"/>
        <v>1077300</v>
      </c>
      <c r="N304" s="48">
        <f t="shared" ca="1" si="131"/>
        <v>87320</v>
      </c>
      <c r="O304" s="48">
        <f t="shared" ca="1" si="129"/>
        <v>7.7322235012839808</v>
      </c>
      <c r="P304" s="404">
        <f t="shared" ca="1" si="130"/>
        <v>8.1054488072031941</v>
      </c>
    </row>
    <row r="305" spans="1:16" ht="18.75">
      <c r="A305" s="438"/>
      <c r="B305" s="42"/>
      <c r="C305" s="42"/>
      <c r="D305" s="42"/>
      <c r="E305" s="49" t="s">
        <v>17</v>
      </c>
      <c r="F305" s="42"/>
      <c r="G305" s="44"/>
      <c r="H305" s="130" t="s">
        <v>12</v>
      </c>
      <c r="I305" s="46"/>
      <c r="J305" s="46"/>
      <c r="K305" s="47"/>
      <c r="L305" s="48">
        <f t="shared" ref="L305:N305" ca="1" si="132">L308+L311</f>
        <v>4428000</v>
      </c>
      <c r="M305" s="48">
        <f t="shared" ca="1" si="132"/>
        <v>3308600</v>
      </c>
      <c r="N305" s="48">
        <f t="shared" ca="1" si="132"/>
        <v>382133.99</v>
      </c>
      <c r="O305" s="48">
        <f t="shared" ca="1" si="129"/>
        <v>8.6299455736224022</v>
      </c>
      <c r="P305" s="404">
        <f t="shared" ca="1" si="130"/>
        <v>11.549718612101795</v>
      </c>
    </row>
    <row r="306" spans="1:16" ht="18.75">
      <c r="A306" s="438"/>
      <c r="B306" s="42"/>
      <c r="C306" s="42"/>
      <c r="D306" s="43" t="s">
        <v>18</v>
      </c>
      <c r="E306" s="42"/>
      <c r="F306" s="42"/>
      <c r="G306" s="44"/>
      <c r="H306" s="131" t="s">
        <v>12</v>
      </c>
      <c r="I306" s="132"/>
      <c r="J306" s="132"/>
      <c r="K306" s="133"/>
      <c r="L306" s="48">
        <f t="shared" ref="L306:N306" ca="1" si="133">L307+L308</f>
        <v>5557300</v>
      </c>
      <c r="M306" s="48">
        <f t="shared" ca="1" si="133"/>
        <v>4385900</v>
      </c>
      <c r="N306" s="48">
        <f t="shared" ca="1" si="133"/>
        <v>469453.99</v>
      </c>
      <c r="O306" s="48">
        <f t="shared" ca="1" si="129"/>
        <v>8.4475192989401329</v>
      </c>
      <c r="P306" s="404">
        <f t="shared" ca="1" si="130"/>
        <v>10.703709386898925</v>
      </c>
    </row>
    <row r="307" spans="1:16" ht="18.75">
      <c r="A307" s="438"/>
      <c r="B307" s="42"/>
      <c r="C307" s="42"/>
      <c r="D307" s="42"/>
      <c r="E307" s="49" t="s">
        <v>32</v>
      </c>
      <c r="F307" s="42"/>
      <c r="G307" s="44"/>
      <c r="H307" s="131" t="s">
        <v>12</v>
      </c>
      <c r="I307" s="132"/>
      <c r="J307" s="132"/>
      <c r="K307" s="133"/>
      <c r="L307" s="48">
        <f ca="1">IFERROR(__xludf.DUMMYFUNCTION("IMPORTRANGE(""https://docs.google.com/spreadsheets/d/1-uDff_7J0KD5mKrp0Vvzr7lt3OU09vwQwhkpOPPYv2Y/edit?usp=sharing"",""งบพรบ!DY9"")"),1129300)</f>
        <v>1129300</v>
      </c>
      <c r="M307" s="48">
        <f ca="1">IFERROR(__xludf.DUMMYFUNCTION("IMPORTRANGE(""https://docs.google.com/spreadsheets/d/1-uDff_7J0KD5mKrp0Vvzr7lt3OU09vwQwhkpOPPYv2Y/edit?usp=sharing"",""งบพรบ!ED9"")"),1077300)</f>
        <v>1077300</v>
      </c>
      <c r="N307" s="48">
        <f ca="1">IFERROR(__xludf.DUMMYFUNCTION("IMPORTRANGE(""https://docs.google.com/spreadsheets/d/1-uDff_7J0KD5mKrp0Vvzr7lt3OU09vwQwhkpOPPYv2Y/edit?usp=sharing"",""งบพรบ!EF9"")"),87320)</f>
        <v>87320</v>
      </c>
      <c r="O307" s="48">
        <f t="shared" ca="1" si="129"/>
        <v>7.7322235012839808</v>
      </c>
      <c r="P307" s="404">
        <f t="shared" ca="1" si="130"/>
        <v>8.1054488072031941</v>
      </c>
    </row>
    <row r="308" spans="1:16" ht="18.75">
      <c r="A308" s="438"/>
      <c r="B308" s="42"/>
      <c r="C308" s="42"/>
      <c r="D308" s="42"/>
      <c r="E308" s="49" t="s">
        <v>33</v>
      </c>
      <c r="F308" s="42"/>
      <c r="G308" s="44"/>
      <c r="H308" s="131" t="s">
        <v>12</v>
      </c>
      <c r="I308" s="132"/>
      <c r="J308" s="132"/>
      <c r="K308" s="133"/>
      <c r="L308" s="48">
        <f ca="1">IFERROR(__xludf.DUMMYFUNCTION("IMPORTRANGE(""https://docs.google.com/spreadsheets/d/1-uDff_7J0KD5mKrp0Vvzr7lt3OU09vwQwhkpOPPYv2Y/edit?usp=sharing"",""งบพรบ!DY8"")"),4428000)</f>
        <v>4428000</v>
      </c>
      <c r="M308" s="48">
        <f ca="1">IFERROR(__xludf.DUMMYFUNCTION("IMPORTRANGE(""https://docs.google.com/spreadsheets/d/1-uDff_7J0KD5mKrp0Vvzr7lt3OU09vwQwhkpOPPYv2Y/edit?usp=sharing"",""งบพรบ!ED8"")"),3308600)</f>
        <v>3308600</v>
      </c>
      <c r="N308" s="48">
        <f ca="1">IFERROR(__xludf.DUMMYFUNCTION("IMPORTRANGE(""https://docs.google.com/spreadsheets/d/1-uDff_7J0KD5mKrp0Vvzr7lt3OU09vwQwhkpOPPYv2Y/edit?usp=sharing"",""งบพรบ!EF8"")"),382133.99)</f>
        <v>382133.99</v>
      </c>
      <c r="O308" s="48">
        <f t="shared" ca="1" si="129"/>
        <v>8.6299455736224022</v>
      </c>
      <c r="P308" s="404">
        <f t="shared" ca="1" si="130"/>
        <v>11.549718612101795</v>
      </c>
    </row>
    <row r="309" spans="1:16" ht="18.75">
      <c r="A309" s="438"/>
      <c r="B309" s="42"/>
      <c r="C309" s="42"/>
      <c r="D309" s="43" t="s">
        <v>19</v>
      </c>
      <c r="E309" s="42"/>
      <c r="F309" s="42"/>
      <c r="G309" s="44"/>
      <c r="H309" s="134" t="s">
        <v>12</v>
      </c>
      <c r="I309" s="132"/>
      <c r="J309" s="132"/>
      <c r="K309" s="133"/>
      <c r="L309" s="48">
        <f t="shared" ref="L309:N309" ca="1" si="134">L310+L311</f>
        <v>0</v>
      </c>
      <c r="M309" s="48">
        <f t="shared" ca="1" si="134"/>
        <v>0</v>
      </c>
      <c r="N309" s="48">
        <f t="shared" ca="1" si="134"/>
        <v>0</v>
      </c>
      <c r="O309" s="48">
        <f t="shared" ca="1" si="129"/>
        <v>0</v>
      </c>
      <c r="P309" s="404">
        <f t="shared" ca="1" si="130"/>
        <v>0</v>
      </c>
    </row>
    <row r="310" spans="1:16" ht="18.75">
      <c r="A310" s="438"/>
      <c r="B310" s="42"/>
      <c r="C310" s="42"/>
      <c r="D310" s="42"/>
      <c r="E310" s="49" t="s">
        <v>16</v>
      </c>
      <c r="F310" s="42"/>
      <c r="G310" s="44"/>
      <c r="H310" s="131" t="s">
        <v>12</v>
      </c>
      <c r="I310" s="132"/>
      <c r="J310" s="132"/>
      <c r="K310" s="133"/>
      <c r="L310" s="48">
        <f ca="1">IFERROR(__xludf.DUMMYFUNCTION("IMPORTRANGE(""https://docs.google.com/spreadsheets/d/1-uDff_7J0KD5mKrp0Vvzr7lt3OU09vwQwhkpOPPYv2Y/edit?usp=sharing"",""งบพรบ!EB9"")"),0)</f>
        <v>0</v>
      </c>
      <c r="M310" s="48">
        <f ca="1">IFERROR(__xludf.DUMMYFUNCTION("IMPORTRANGE(""https://docs.google.com/spreadsheets/d/1-uDff_7J0KD5mKrp0Vvzr7lt3OU09vwQwhkpOPPYv2Y/edit?usp=sharing"",""งบพรบ!EE9"")"),0)</f>
        <v>0</v>
      </c>
      <c r="N310" s="48">
        <f ca="1">IFERROR(__xludf.DUMMYFUNCTION("IMPORTRANGE(""https://docs.google.com/spreadsheets/d/1-uDff_7J0KD5mKrp0Vvzr7lt3OU09vwQwhkpOPPYv2Y/edit?usp=sharing"",""งบพรบ!EG9"")"),0)</f>
        <v>0</v>
      </c>
      <c r="O310" s="48">
        <f t="shared" ca="1" si="129"/>
        <v>0</v>
      </c>
      <c r="P310" s="404">
        <f t="shared" ca="1" si="130"/>
        <v>0</v>
      </c>
    </row>
    <row r="311" spans="1:16" ht="18.75">
      <c r="A311" s="438"/>
      <c r="B311" s="42"/>
      <c r="C311" s="42"/>
      <c r="D311" s="42"/>
      <c r="E311" s="49" t="s">
        <v>17</v>
      </c>
      <c r="F311" s="42"/>
      <c r="G311" s="44"/>
      <c r="H311" s="134" t="s">
        <v>12</v>
      </c>
      <c r="I311" s="132"/>
      <c r="J311" s="132"/>
      <c r="K311" s="133"/>
      <c r="L311" s="48">
        <f ca="1">IFERROR(__xludf.DUMMYFUNCTION("IMPORTRANGE(""https://docs.google.com/spreadsheets/d/1-uDff_7J0KD5mKrp0Vvzr7lt3OU09vwQwhkpOPPYv2Y/edit?usp=sharing"",""งบพรบ!EB8"")"),0)</f>
        <v>0</v>
      </c>
      <c r="M311" s="48">
        <f ca="1">IFERROR(__xludf.DUMMYFUNCTION("IMPORTRANGE(""https://docs.google.com/spreadsheets/d/1-uDff_7J0KD5mKrp0Vvzr7lt3OU09vwQwhkpOPPYv2Y/edit?usp=sharing"",""งบพรบ!EE8"")"),0)</f>
        <v>0</v>
      </c>
      <c r="N311" s="48">
        <f ca="1">IFERROR(__xludf.DUMMYFUNCTION("IMPORTRANGE(""https://docs.google.com/spreadsheets/d/1-uDff_7J0KD5mKrp0Vvzr7lt3OU09vwQwhkpOPPYv2Y/edit?usp=sharing"",""งบพรบ!EG8"")"),0)</f>
        <v>0</v>
      </c>
      <c r="O311" s="48">
        <f t="shared" ca="1" si="129"/>
        <v>0</v>
      </c>
      <c r="P311" s="404">
        <f t="shared" ca="1" si="130"/>
        <v>0</v>
      </c>
    </row>
    <row r="312" spans="1:16" ht="19.5">
      <c r="A312" s="440"/>
      <c r="B312" s="135"/>
      <c r="C312" s="126" t="s">
        <v>14</v>
      </c>
      <c r="D312" s="136" t="s">
        <v>34</v>
      </c>
      <c r="E312" s="137"/>
      <c r="F312" s="137"/>
      <c r="G312" s="138"/>
      <c r="H312" s="139"/>
      <c r="I312" s="46"/>
      <c r="J312" s="46"/>
      <c r="K312" s="47"/>
      <c r="L312" s="47"/>
      <c r="M312" s="47"/>
      <c r="N312" s="47"/>
      <c r="O312" s="47"/>
      <c r="P312" s="448"/>
    </row>
    <row r="313" spans="1:16" ht="18.75">
      <c r="A313" s="440"/>
      <c r="B313" s="135"/>
      <c r="C313" s="135"/>
      <c r="D313" s="145" t="s">
        <v>114</v>
      </c>
      <c r="E313" s="141"/>
      <c r="F313" s="141"/>
      <c r="G313" s="139"/>
      <c r="H313" s="139"/>
      <c r="I313" s="46"/>
      <c r="J313" s="158">
        <f ca="1">IFERROR(__xludf.DUMMYFUNCTION("IMPORTRANGE(""https://docs.google.com/spreadsheets/d/1-XHdCZLVuuLs4PEabQnSVXw00PPYzJqGd1hkCriq2gk/edit?usp=sharing"",""Smart!R7"")"),1)</f>
        <v>1</v>
      </c>
      <c r="K313" s="47"/>
      <c r="L313" s="47"/>
      <c r="M313" s="47"/>
      <c r="N313" s="47"/>
      <c r="O313" s="47"/>
      <c r="P313" s="448"/>
    </row>
    <row r="314" spans="1:16" ht="18.75">
      <c r="A314" s="440"/>
      <c r="B314" s="135"/>
      <c r="C314" s="135"/>
      <c r="D314" s="145" t="s">
        <v>110</v>
      </c>
      <c r="E314" s="141"/>
      <c r="F314" s="141"/>
      <c r="G314" s="139"/>
      <c r="H314" s="146" t="s">
        <v>31</v>
      </c>
      <c r="I314" s="158">
        <f ca="1">IFERROR(__xludf.DUMMYFUNCTION("IMPORTRANGE(""https://docs.google.com/spreadsheets/d/1-XHdCZLVuuLs4PEabQnSVXw00PPYzJqGd1hkCriq2gk/edit?usp=sharing"",""Smart!S7"")"),530)</f>
        <v>530</v>
      </c>
      <c r="J314" s="158">
        <f ca="1">IFERROR(__xludf.DUMMYFUNCTION("IMPORTRANGE(""https://docs.google.com/spreadsheets/d/1-XHdCZLVuuLs4PEabQnSVXw00PPYzJqGd1hkCriq2gk/edit?usp=sharing"",""Smart!T7"")"),25)</f>
        <v>25</v>
      </c>
      <c r="K314" s="48">
        <f t="shared" ref="K314:K317" ca="1" si="135">IF(I314&gt;0,J314*100/I314,0)</f>
        <v>4.716981132075472</v>
      </c>
      <c r="L314" s="47"/>
      <c r="M314" s="47"/>
      <c r="N314" s="47"/>
      <c r="O314" s="47"/>
      <c r="P314" s="448"/>
    </row>
    <row r="315" spans="1:16" ht="18.75">
      <c r="A315" s="440"/>
      <c r="B315" s="135"/>
      <c r="C315" s="135"/>
      <c r="D315" s="145" t="s">
        <v>115</v>
      </c>
      <c r="E315" s="141"/>
      <c r="F315" s="141"/>
      <c r="G315" s="139"/>
      <c r="H315" s="146" t="s">
        <v>31</v>
      </c>
      <c r="I315" s="158">
        <f ca="1">IFERROR(__xludf.DUMMYFUNCTION("IMPORTRANGE(""https://docs.google.com/spreadsheets/d/1-XHdCZLVuuLs4PEabQnSVXw00PPYzJqGd1hkCriq2gk/edit?usp=sharing"",""Smart!V7"")"),106)</f>
        <v>106</v>
      </c>
      <c r="J315" s="158">
        <f ca="1">IFERROR(__xludf.DUMMYFUNCTION("IMPORTRANGE(""https://docs.google.com/spreadsheets/d/1-XHdCZLVuuLs4PEabQnSVXw00PPYzJqGd1hkCriq2gk/edit?usp=sharing"",""Smart!W7"")"),5)</f>
        <v>5</v>
      </c>
      <c r="K315" s="48">
        <f t="shared" ca="1" si="135"/>
        <v>4.716981132075472</v>
      </c>
      <c r="L315" s="47"/>
      <c r="M315" s="47"/>
      <c r="N315" s="47"/>
      <c r="O315" s="47"/>
      <c r="P315" s="448"/>
    </row>
    <row r="316" spans="1:16" ht="18.75">
      <c r="A316" s="440"/>
      <c r="B316" s="135"/>
      <c r="C316" s="135"/>
      <c r="D316" s="145" t="s">
        <v>46</v>
      </c>
      <c r="E316" s="141"/>
      <c r="F316" s="141"/>
      <c r="G316" s="139"/>
      <c r="H316" s="146" t="s">
        <v>31</v>
      </c>
      <c r="I316" s="158">
        <f ca="1">IFERROR(__xludf.DUMMYFUNCTION("IMPORTRANGE(""https://docs.google.com/spreadsheets/d/1-XHdCZLVuuLs4PEabQnSVXw00PPYzJqGd1hkCriq2gk/edit?usp=sharing"",""Smart!Y7"")"),530)</f>
        <v>530</v>
      </c>
      <c r="J316" s="158">
        <f ca="1">IFERROR(__xludf.DUMMYFUNCTION("IMPORTRANGE(""https://docs.google.com/spreadsheets/d/1-XHdCZLVuuLs4PEabQnSVXw00PPYzJqGd1hkCriq2gk/edit?usp=sharing"",""Smart!Z7"")"),0)</f>
        <v>0</v>
      </c>
      <c r="K316" s="48">
        <f t="shared" ca="1" si="135"/>
        <v>0</v>
      </c>
      <c r="L316" s="47"/>
      <c r="M316" s="47"/>
      <c r="N316" s="47"/>
      <c r="O316" s="47"/>
      <c r="P316" s="448"/>
    </row>
    <row r="317" spans="1:16" ht="18.75">
      <c r="A317" s="463"/>
      <c r="B317" s="219"/>
      <c r="C317" s="219"/>
      <c r="D317" s="49" t="s">
        <v>116</v>
      </c>
      <c r="E317" s="42"/>
      <c r="F317" s="42"/>
      <c r="G317" s="44"/>
      <c r="H317" s="45" t="s">
        <v>31</v>
      </c>
      <c r="I317" s="158">
        <f ca="1">IFERROR(__xludf.DUMMYFUNCTION("IMPORTRANGE(""https://docs.google.com/spreadsheets/d/1-XHdCZLVuuLs4PEabQnSVXw00PPYzJqGd1hkCriq2gk/edit?usp=sharing"",""Smart!AB7"")"),106)</f>
        <v>106</v>
      </c>
      <c r="J317" s="158">
        <f ca="1">IFERROR(__xludf.DUMMYFUNCTION("IMPORTRANGE(""https://docs.google.com/spreadsheets/d/1-XHdCZLVuuLs4PEabQnSVXw00PPYzJqGd1hkCriq2gk/edit?usp=sharing"",""Smart!AC7"")"),0)</f>
        <v>0</v>
      </c>
      <c r="K317" s="48">
        <f t="shared" ca="1" si="135"/>
        <v>0</v>
      </c>
      <c r="L317" s="47"/>
      <c r="M317" s="47"/>
      <c r="N317" s="47"/>
      <c r="O317" s="47"/>
      <c r="P317" s="448"/>
    </row>
    <row r="318" spans="1:16" ht="19.5">
      <c r="A318" s="489" t="s">
        <v>117</v>
      </c>
      <c r="B318" s="297"/>
      <c r="C318" s="297"/>
      <c r="D318" s="298"/>
      <c r="E318" s="297"/>
      <c r="F318" s="297"/>
      <c r="G318" s="297"/>
      <c r="H318" s="298"/>
      <c r="I318" s="300"/>
      <c r="J318" s="300"/>
      <c r="K318" s="301"/>
      <c r="L318" s="301"/>
      <c r="M318" s="301"/>
      <c r="N318" s="301"/>
      <c r="O318" s="301"/>
      <c r="P318" s="490"/>
    </row>
    <row r="319" spans="1:16" ht="19.5">
      <c r="A319" s="493"/>
      <c r="B319" s="302" t="s">
        <v>118</v>
      </c>
      <c r="C319" s="309"/>
      <c r="D319" s="310"/>
      <c r="E319" s="303"/>
      <c r="F319" s="303"/>
      <c r="G319" s="304"/>
      <c r="H319" s="305" t="s">
        <v>119</v>
      </c>
      <c r="I319" s="306">
        <f t="shared" ref="I319:J319" ca="1" si="136">I330</f>
        <v>10</v>
      </c>
      <c r="J319" s="306">
        <f t="shared" ca="1" si="136"/>
        <v>0</v>
      </c>
      <c r="K319" s="307">
        <f ca="1">IF(I319&gt;0,J319*100/I319,0)</f>
        <v>0</v>
      </c>
      <c r="L319" s="308"/>
      <c r="M319" s="308"/>
      <c r="N319" s="308"/>
      <c r="O319" s="308"/>
      <c r="P319" s="492"/>
    </row>
    <row r="320" spans="1:16" ht="19.5">
      <c r="A320" s="438"/>
      <c r="B320" s="42"/>
      <c r="C320" s="126" t="s">
        <v>14</v>
      </c>
      <c r="D320" s="127" t="s">
        <v>15</v>
      </c>
      <c r="E320" s="42"/>
      <c r="F320" s="42"/>
      <c r="G320" s="44"/>
      <c r="H320" s="128" t="s">
        <v>12</v>
      </c>
      <c r="I320" s="46"/>
      <c r="J320" s="46"/>
      <c r="K320" s="47"/>
      <c r="L320" s="129">
        <f t="shared" ref="L320:N320" ca="1" si="137">L321+L322</f>
        <v>2767600</v>
      </c>
      <c r="M320" s="129">
        <f t="shared" ca="1" si="137"/>
        <v>2177600</v>
      </c>
      <c r="N320" s="129">
        <f t="shared" ca="1" si="137"/>
        <v>362804.95</v>
      </c>
      <c r="O320" s="129">
        <f t="shared" ref="O320:O328" ca="1" si="138">IF(L320&gt;0,N320*100/L320,0)</f>
        <v>13.109009611215493</v>
      </c>
      <c r="P320" s="439">
        <f t="shared" ref="P320:P328" ca="1" si="139">IF(M320&gt;0,N320*100/M320,0)</f>
        <v>16.660771032329169</v>
      </c>
    </row>
    <row r="321" spans="1:16" ht="18.75">
      <c r="A321" s="438"/>
      <c r="B321" s="42"/>
      <c r="C321" s="42"/>
      <c r="D321" s="42"/>
      <c r="E321" s="49" t="s">
        <v>16</v>
      </c>
      <c r="F321" s="42"/>
      <c r="G321" s="44"/>
      <c r="H321" s="130" t="s">
        <v>12</v>
      </c>
      <c r="I321" s="46"/>
      <c r="J321" s="46"/>
      <c r="K321" s="47"/>
      <c r="L321" s="48">
        <f t="shared" ref="L321:N321" ca="1" si="140">L324+L327</f>
        <v>2517600</v>
      </c>
      <c r="M321" s="48">
        <f t="shared" ca="1" si="140"/>
        <v>1867600</v>
      </c>
      <c r="N321" s="48">
        <f t="shared" ca="1" si="140"/>
        <v>267920.95</v>
      </c>
      <c r="O321" s="48">
        <f t="shared" ca="1" si="138"/>
        <v>10.641918891007309</v>
      </c>
      <c r="P321" s="404">
        <f t="shared" ca="1" si="139"/>
        <v>14.34573516813022</v>
      </c>
    </row>
    <row r="322" spans="1:16" ht="18.75">
      <c r="A322" s="438"/>
      <c r="B322" s="42"/>
      <c r="C322" s="42"/>
      <c r="D322" s="42"/>
      <c r="E322" s="49" t="s">
        <v>17</v>
      </c>
      <c r="F322" s="42"/>
      <c r="G322" s="44"/>
      <c r="H322" s="130" t="s">
        <v>12</v>
      </c>
      <c r="I322" s="46"/>
      <c r="J322" s="46"/>
      <c r="K322" s="47"/>
      <c r="L322" s="48">
        <f t="shared" ref="L322:N322" ca="1" si="141">L325+L328</f>
        <v>250000</v>
      </c>
      <c r="M322" s="48">
        <f t="shared" ca="1" si="141"/>
        <v>310000</v>
      </c>
      <c r="N322" s="48">
        <f t="shared" ca="1" si="141"/>
        <v>94884</v>
      </c>
      <c r="O322" s="48">
        <f t="shared" ca="1" si="138"/>
        <v>37.953600000000002</v>
      </c>
      <c r="P322" s="404">
        <f t="shared" ca="1" si="139"/>
        <v>30.607741935483872</v>
      </c>
    </row>
    <row r="323" spans="1:16" ht="18.75">
      <c r="A323" s="438"/>
      <c r="B323" s="42"/>
      <c r="C323" s="42"/>
      <c r="D323" s="43" t="s">
        <v>18</v>
      </c>
      <c r="E323" s="42"/>
      <c r="F323" s="42"/>
      <c r="G323" s="44"/>
      <c r="H323" s="131" t="s">
        <v>12</v>
      </c>
      <c r="I323" s="132"/>
      <c r="J323" s="132"/>
      <c r="K323" s="133"/>
      <c r="L323" s="48">
        <f t="shared" ref="L323:N323" ca="1" si="142">L324+L325</f>
        <v>2767600</v>
      </c>
      <c r="M323" s="48">
        <f t="shared" ca="1" si="142"/>
        <v>2177600</v>
      </c>
      <c r="N323" s="48">
        <f t="shared" ca="1" si="142"/>
        <v>362804.95</v>
      </c>
      <c r="O323" s="48">
        <f t="shared" ca="1" si="138"/>
        <v>13.109009611215493</v>
      </c>
      <c r="P323" s="404">
        <f t="shared" ca="1" si="139"/>
        <v>16.660771032329169</v>
      </c>
    </row>
    <row r="324" spans="1:16" ht="18.75">
      <c r="A324" s="438"/>
      <c r="B324" s="42"/>
      <c r="C324" s="42"/>
      <c r="D324" s="42"/>
      <c r="E324" s="49" t="s">
        <v>32</v>
      </c>
      <c r="F324" s="42"/>
      <c r="G324" s="44"/>
      <c r="H324" s="131" t="s">
        <v>12</v>
      </c>
      <c r="I324" s="132"/>
      <c r="J324" s="132"/>
      <c r="K324" s="133"/>
      <c r="L324" s="48">
        <f ca="1">IFERROR(__xludf.DUMMYFUNCTION("IMPORTRANGE(""https://docs.google.com/spreadsheets/d/1-uDff_7J0KD5mKrp0Vvzr7lt3OU09vwQwhkpOPPYv2Y/edit?usp=sharing"",""งบพรบ!EI9"")"),2517600)</f>
        <v>2517600</v>
      </c>
      <c r="M324" s="48">
        <f ca="1">IFERROR(__xludf.DUMMYFUNCTION("IMPORTRANGE(""https://docs.google.com/spreadsheets/d/1-uDff_7J0KD5mKrp0Vvzr7lt3OU09vwQwhkpOPPYv2Y/edit?usp=sharing"",""งบพรบ!EN9"")"),1867600)</f>
        <v>1867600</v>
      </c>
      <c r="N324" s="48">
        <f ca="1">IFERROR(__xludf.DUMMYFUNCTION("IMPORTRANGE(""https://docs.google.com/spreadsheets/d/1-uDff_7J0KD5mKrp0Vvzr7lt3OU09vwQwhkpOPPYv2Y/edit?usp=sharing"",""งบพรบ!EP9"")"),267920.95)</f>
        <v>267920.95</v>
      </c>
      <c r="O324" s="48">
        <f t="shared" ca="1" si="138"/>
        <v>10.641918891007309</v>
      </c>
      <c r="P324" s="404">
        <f t="shared" ca="1" si="139"/>
        <v>14.34573516813022</v>
      </c>
    </row>
    <row r="325" spans="1:16" ht="18.75">
      <c r="A325" s="438"/>
      <c r="B325" s="42"/>
      <c r="C325" s="42"/>
      <c r="D325" s="42"/>
      <c r="E325" s="49" t="s">
        <v>33</v>
      </c>
      <c r="F325" s="42"/>
      <c r="G325" s="44"/>
      <c r="H325" s="131" t="s">
        <v>12</v>
      </c>
      <c r="I325" s="132"/>
      <c r="J325" s="132"/>
      <c r="K325" s="133"/>
      <c r="L325" s="48">
        <f ca="1">IFERROR(__xludf.DUMMYFUNCTION("IMPORTRANGE(""https://docs.google.com/spreadsheets/d/1-uDff_7J0KD5mKrp0Vvzr7lt3OU09vwQwhkpOPPYv2Y/edit?usp=sharing"",""งบพรบ!EI8"")"),250000)</f>
        <v>250000</v>
      </c>
      <c r="M325" s="48">
        <f ca="1">IFERROR(__xludf.DUMMYFUNCTION("IMPORTRANGE(""https://docs.google.com/spreadsheets/d/1-uDff_7J0KD5mKrp0Vvzr7lt3OU09vwQwhkpOPPYv2Y/edit?usp=sharing"",""งบพรบ!EN8"")"),310000)</f>
        <v>310000</v>
      </c>
      <c r="N325" s="48">
        <f ca="1">IFERROR(__xludf.DUMMYFUNCTION("IMPORTRANGE(""https://docs.google.com/spreadsheets/d/1-uDff_7J0KD5mKrp0Vvzr7lt3OU09vwQwhkpOPPYv2Y/edit?usp=sharing"",""งบพรบ!EP8"")"),94884)</f>
        <v>94884</v>
      </c>
      <c r="O325" s="48">
        <f t="shared" ca="1" si="138"/>
        <v>37.953600000000002</v>
      </c>
      <c r="P325" s="404">
        <f t="shared" ca="1" si="139"/>
        <v>30.607741935483872</v>
      </c>
    </row>
    <row r="326" spans="1:16" ht="18.75">
      <c r="A326" s="438"/>
      <c r="B326" s="42"/>
      <c r="C326" s="42"/>
      <c r="D326" s="43" t="s">
        <v>19</v>
      </c>
      <c r="E326" s="42"/>
      <c r="F326" s="42"/>
      <c r="G326" s="44"/>
      <c r="H326" s="134" t="s">
        <v>12</v>
      </c>
      <c r="I326" s="132"/>
      <c r="J326" s="132"/>
      <c r="K326" s="133"/>
      <c r="L326" s="48">
        <f t="shared" ref="L326:N326" ca="1" si="143">L327+L328</f>
        <v>0</v>
      </c>
      <c r="M326" s="48">
        <f t="shared" ca="1" si="143"/>
        <v>0</v>
      </c>
      <c r="N326" s="48">
        <f t="shared" ca="1" si="143"/>
        <v>0</v>
      </c>
      <c r="O326" s="48">
        <f t="shared" ca="1" si="138"/>
        <v>0</v>
      </c>
      <c r="P326" s="404">
        <f t="shared" ca="1" si="139"/>
        <v>0</v>
      </c>
    </row>
    <row r="327" spans="1:16" ht="18.75">
      <c r="A327" s="438"/>
      <c r="B327" s="42"/>
      <c r="C327" s="42"/>
      <c r="D327" s="42"/>
      <c r="E327" s="49" t="s">
        <v>16</v>
      </c>
      <c r="F327" s="42"/>
      <c r="G327" s="44"/>
      <c r="H327" s="131" t="s">
        <v>12</v>
      </c>
      <c r="I327" s="132"/>
      <c r="J327" s="132"/>
      <c r="K327" s="133"/>
      <c r="L327" s="48">
        <f ca="1">IFERROR(__xludf.DUMMYFUNCTION("IMPORTRANGE(""https://docs.google.com/spreadsheets/d/1-uDff_7J0KD5mKrp0Vvzr7lt3OU09vwQwhkpOPPYv2Y/edit?usp=sharing"",""งบพรบ!EL9"")"),0)</f>
        <v>0</v>
      </c>
      <c r="M327" s="48">
        <f ca="1">IFERROR(__xludf.DUMMYFUNCTION("IMPORTRANGE(""https://docs.google.com/spreadsheets/d/1-uDff_7J0KD5mKrp0Vvzr7lt3OU09vwQwhkpOPPYv2Y/edit?usp=sharing"",""งบพรบ!EO9"")"),0)</f>
        <v>0</v>
      </c>
      <c r="N327" s="48">
        <f ca="1">IFERROR(__xludf.DUMMYFUNCTION("IMPORTRANGE(""https://docs.google.com/spreadsheets/d/1-uDff_7J0KD5mKrp0Vvzr7lt3OU09vwQwhkpOPPYv2Y/edit?usp=sharing"",""งบพรบ!EQ9"")"),0)</f>
        <v>0</v>
      </c>
      <c r="O327" s="48">
        <f t="shared" ca="1" si="138"/>
        <v>0</v>
      </c>
      <c r="P327" s="404">
        <f t="shared" ca="1" si="139"/>
        <v>0</v>
      </c>
    </row>
    <row r="328" spans="1:16" ht="18.75">
      <c r="A328" s="438"/>
      <c r="B328" s="42"/>
      <c r="C328" s="42"/>
      <c r="D328" s="42"/>
      <c r="E328" s="49" t="s">
        <v>17</v>
      </c>
      <c r="F328" s="42"/>
      <c r="G328" s="44"/>
      <c r="H328" s="134" t="s">
        <v>12</v>
      </c>
      <c r="I328" s="132"/>
      <c r="J328" s="132"/>
      <c r="K328" s="133"/>
      <c r="L328" s="48">
        <f ca="1">IFERROR(__xludf.DUMMYFUNCTION("IMPORTRANGE(""https://docs.google.com/spreadsheets/d/1-uDff_7J0KD5mKrp0Vvzr7lt3OU09vwQwhkpOPPYv2Y/edit?usp=sharing"",""งบพรบ!EL8"")"),0)</f>
        <v>0</v>
      </c>
      <c r="M328" s="48">
        <f ca="1">IFERROR(__xludf.DUMMYFUNCTION("IMPORTRANGE(""https://docs.google.com/spreadsheets/d/1-uDff_7J0KD5mKrp0Vvzr7lt3OU09vwQwhkpOPPYv2Y/edit?usp=sharing"",""งบพรบ!EO8"")"),0)</f>
        <v>0</v>
      </c>
      <c r="N328" s="48">
        <f ca="1">IFERROR(__xludf.DUMMYFUNCTION("IMPORTRANGE(""https://docs.google.com/spreadsheets/d/1-uDff_7J0KD5mKrp0Vvzr7lt3OU09vwQwhkpOPPYv2Y/edit?usp=sharing"",""งบพรบ!EQ8"")"),0)</f>
        <v>0</v>
      </c>
      <c r="O328" s="48">
        <f t="shared" ca="1" si="138"/>
        <v>0</v>
      </c>
      <c r="P328" s="404">
        <f t="shared" ca="1" si="139"/>
        <v>0</v>
      </c>
    </row>
    <row r="329" spans="1:16" ht="19.5">
      <c r="A329" s="440"/>
      <c r="B329" s="135"/>
      <c r="C329" s="126" t="s">
        <v>14</v>
      </c>
      <c r="D329" s="136" t="s">
        <v>34</v>
      </c>
      <c r="E329" s="137"/>
      <c r="F329" s="137"/>
      <c r="G329" s="138"/>
      <c r="H329" s="139"/>
      <c r="I329" s="132"/>
      <c r="J329" s="46"/>
      <c r="K329" s="47"/>
      <c r="L329" s="47"/>
      <c r="M329" s="47"/>
      <c r="N329" s="47"/>
      <c r="O329" s="133"/>
      <c r="P329" s="441"/>
    </row>
    <row r="330" spans="1:16" ht="18.75">
      <c r="A330" s="440"/>
      <c r="B330" s="135"/>
      <c r="C330" s="135"/>
      <c r="D330" s="140" t="s">
        <v>120</v>
      </c>
      <c r="E330" s="141"/>
      <c r="F330" s="141"/>
      <c r="G330" s="139"/>
      <c r="H330" s="45" t="s">
        <v>119</v>
      </c>
      <c r="I330" s="158">
        <f ca="1">IFERROR(__xludf.DUMMYFUNCTION("IMPORTRANGE(""https://docs.google.com/spreadsheets/d/1-XHdCZLVuuLs4PEabQnSVXw00PPYzJqGd1hkCriq2gk/edit?usp=sharing"",""แปลงรวม!R7"")"),10)</f>
        <v>10</v>
      </c>
      <c r="J330" s="158">
        <f ca="1">IFERROR(__xludf.DUMMYFUNCTION("IMPORTRANGE(""https://docs.google.com/spreadsheets/d/1-XHdCZLVuuLs4PEabQnSVXw00PPYzJqGd1hkCriq2gk/edit?usp=sharing"",""แปลงรวม!S7"")"),0)</f>
        <v>0</v>
      </c>
      <c r="K330" s="48">
        <f ca="1">IF(I330&gt;0,J330*100/I330,0)</f>
        <v>0</v>
      </c>
      <c r="L330" s="47"/>
      <c r="M330" s="47"/>
      <c r="N330" s="47"/>
      <c r="O330" s="133"/>
      <c r="P330" s="441"/>
    </row>
    <row r="331" spans="1:16" ht="19.5">
      <c r="A331" s="489" t="s">
        <v>121</v>
      </c>
      <c r="B331" s="297"/>
      <c r="C331" s="297"/>
      <c r="D331" s="298"/>
      <c r="E331" s="297"/>
      <c r="F331" s="297"/>
      <c r="G331" s="297"/>
      <c r="H331" s="298"/>
      <c r="I331" s="300"/>
      <c r="J331" s="300"/>
      <c r="K331" s="301"/>
      <c r="L331" s="301"/>
      <c r="M331" s="301"/>
      <c r="N331" s="301"/>
      <c r="O331" s="301"/>
      <c r="P331" s="490"/>
    </row>
    <row r="332" spans="1:16" ht="19.5">
      <c r="A332" s="491"/>
      <c r="B332" s="302" t="s">
        <v>122</v>
      </c>
      <c r="C332" s="310"/>
      <c r="D332" s="303"/>
      <c r="E332" s="303"/>
      <c r="F332" s="303"/>
      <c r="G332" s="304"/>
      <c r="H332" s="305" t="s">
        <v>31</v>
      </c>
      <c r="I332" s="311">
        <f ca="1">I344</f>
        <v>121800</v>
      </c>
      <c r="J332" s="312">
        <f ca="1">J344+J347+J348+J349+J353</f>
        <v>85345</v>
      </c>
      <c r="K332" s="313">
        <f ca="1">IF(I332&gt;0,J332*100/I332,0)</f>
        <v>70.069786535303777</v>
      </c>
      <c r="L332" s="308"/>
      <c r="M332" s="308"/>
      <c r="N332" s="308"/>
      <c r="O332" s="308"/>
      <c r="P332" s="492"/>
    </row>
    <row r="333" spans="1:16" ht="19.5">
      <c r="A333" s="438"/>
      <c r="B333" s="42"/>
      <c r="C333" s="126" t="s">
        <v>14</v>
      </c>
      <c r="D333" s="127" t="s">
        <v>15</v>
      </c>
      <c r="E333" s="42"/>
      <c r="F333" s="42"/>
      <c r="G333" s="44"/>
      <c r="H333" s="128" t="s">
        <v>12</v>
      </c>
      <c r="I333" s="46"/>
      <c r="J333" s="46"/>
      <c r="K333" s="47"/>
      <c r="L333" s="129">
        <f t="shared" ref="L333:N333" ca="1" si="144">L334+L335</f>
        <v>11006800</v>
      </c>
      <c r="M333" s="129">
        <f t="shared" ca="1" si="144"/>
        <v>9065400</v>
      </c>
      <c r="N333" s="129">
        <f t="shared" ca="1" si="144"/>
        <v>1326847.79</v>
      </c>
      <c r="O333" s="129">
        <f t="shared" ref="O333:O341" ca="1" si="145">IF(L333&gt;0,N333*100/L333,0)</f>
        <v>12.054800577824617</v>
      </c>
      <c r="P333" s="439">
        <f t="shared" ref="P333:P341" ca="1" si="146">IF(M333&gt;0,N333*100/M333,0)</f>
        <v>14.636395415535993</v>
      </c>
    </row>
    <row r="334" spans="1:16" ht="18.75">
      <c r="A334" s="438"/>
      <c r="B334" s="42"/>
      <c r="C334" s="42"/>
      <c r="D334" s="42"/>
      <c r="E334" s="49" t="s">
        <v>16</v>
      </c>
      <c r="F334" s="42"/>
      <c r="G334" s="44"/>
      <c r="H334" s="130" t="s">
        <v>12</v>
      </c>
      <c r="I334" s="46"/>
      <c r="J334" s="46"/>
      <c r="K334" s="47"/>
      <c r="L334" s="48">
        <f t="shared" ref="L334:N334" ca="1" si="147">L337+L340</f>
        <v>937400</v>
      </c>
      <c r="M334" s="48">
        <f t="shared" ca="1" si="147"/>
        <v>1272900</v>
      </c>
      <c r="N334" s="48">
        <f t="shared" ca="1" si="147"/>
        <v>35666.61</v>
      </c>
      <c r="O334" s="48">
        <f t="shared" ca="1" si="145"/>
        <v>3.804844250053339</v>
      </c>
      <c r="P334" s="404">
        <f t="shared" ca="1" si="146"/>
        <v>2.8019962290831959</v>
      </c>
    </row>
    <row r="335" spans="1:16" ht="18.75">
      <c r="A335" s="438"/>
      <c r="B335" s="42"/>
      <c r="C335" s="42"/>
      <c r="D335" s="42"/>
      <c r="E335" s="49" t="s">
        <v>17</v>
      </c>
      <c r="F335" s="42"/>
      <c r="G335" s="44"/>
      <c r="H335" s="130" t="s">
        <v>12</v>
      </c>
      <c r="I335" s="46"/>
      <c r="J335" s="46"/>
      <c r="K335" s="47"/>
      <c r="L335" s="48">
        <f t="shared" ref="L335:N335" ca="1" si="148">L338+L341</f>
        <v>10069400</v>
      </c>
      <c r="M335" s="48">
        <f t="shared" ca="1" si="148"/>
        <v>7792500</v>
      </c>
      <c r="N335" s="48">
        <f t="shared" ca="1" si="148"/>
        <v>1291181.18</v>
      </c>
      <c r="O335" s="48">
        <f t="shared" ca="1" si="145"/>
        <v>12.822821419349713</v>
      </c>
      <c r="P335" s="404">
        <f t="shared" ca="1" si="146"/>
        <v>16.569537119024702</v>
      </c>
    </row>
    <row r="336" spans="1:16" ht="18.75">
      <c r="A336" s="438"/>
      <c r="B336" s="42"/>
      <c r="C336" s="42"/>
      <c r="D336" s="43" t="s">
        <v>18</v>
      </c>
      <c r="E336" s="42"/>
      <c r="F336" s="42"/>
      <c r="G336" s="44"/>
      <c r="H336" s="131" t="s">
        <v>12</v>
      </c>
      <c r="I336" s="132"/>
      <c r="J336" s="132"/>
      <c r="K336" s="133"/>
      <c r="L336" s="48">
        <f t="shared" ref="L336:N336" ca="1" si="149">L337+L338</f>
        <v>11006800</v>
      </c>
      <c r="M336" s="48">
        <f t="shared" ca="1" si="149"/>
        <v>9065400</v>
      </c>
      <c r="N336" s="48">
        <f t="shared" ca="1" si="149"/>
        <v>1326847.79</v>
      </c>
      <c r="O336" s="48">
        <f t="shared" ca="1" si="145"/>
        <v>12.054800577824617</v>
      </c>
      <c r="P336" s="404">
        <f t="shared" ca="1" si="146"/>
        <v>14.636395415535993</v>
      </c>
    </row>
    <row r="337" spans="1:16" ht="18.75">
      <c r="A337" s="438"/>
      <c r="B337" s="42"/>
      <c r="C337" s="42"/>
      <c r="D337" s="42"/>
      <c r="E337" s="49" t="s">
        <v>32</v>
      </c>
      <c r="F337" s="42"/>
      <c r="G337" s="44"/>
      <c r="H337" s="131" t="s">
        <v>12</v>
      </c>
      <c r="I337" s="132"/>
      <c r="J337" s="132"/>
      <c r="K337" s="133"/>
      <c r="L337" s="48">
        <f ca="1">IFERROR(__xludf.DUMMYFUNCTION("IMPORTRANGE(""https://docs.google.com/spreadsheets/d/1-uDff_7J0KD5mKrp0Vvzr7lt3OU09vwQwhkpOPPYv2Y/edit?usp=sharing"",""งบพรบ!ES9"")"),937400)</f>
        <v>937400</v>
      </c>
      <c r="M337" s="48">
        <f ca="1">IFERROR(__xludf.DUMMYFUNCTION("IMPORTRANGE(""https://docs.google.com/spreadsheets/d/1-uDff_7J0KD5mKrp0Vvzr7lt3OU09vwQwhkpOPPYv2Y/edit?usp=sharing"",""งบพรบ!EX9"")"),1272900)</f>
        <v>1272900</v>
      </c>
      <c r="N337" s="48">
        <f ca="1">IFERROR(__xludf.DUMMYFUNCTION("IMPORTRANGE(""https://docs.google.com/spreadsheets/d/1-uDff_7J0KD5mKrp0Vvzr7lt3OU09vwQwhkpOPPYv2Y/edit?usp=sharing"",""งบพรบ!EZ9"")"),35666.61)</f>
        <v>35666.61</v>
      </c>
      <c r="O337" s="48">
        <f t="shared" ca="1" si="145"/>
        <v>3.804844250053339</v>
      </c>
      <c r="P337" s="404">
        <f t="shared" ca="1" si="146"/>
        <v>2.8019962290831959</v>
      </c>
    </row>
    <row r="338" spans="1:16" ht="18.75">
      <c r="A338" s="438"/>
      <c r="B338" s="42"/>
      <c r="C338" s="42"/>
      <c r="D338" s="42"/>
      <c r="E338" s="49" t="s">
        <v>33</v>
      </c>
      <c r="F338" s="42"/>
      <c r="G338" s="44"/>
      <c r="H338" s="131" t="s">
        <v>12</v>
      </c>
      <c r="I338" s="132"/>
      <c r="J338" s="132"/>
      <c r="K338" s="133"/>
      <c r="L338" s="48">
        <f ca="1">IFERROR(__xludf.DUMMYFUNCTION("IMPORTRANGE(""https://docs.google.com/spreadsheets/d/1-uDff_7J0KD5mKrp0Vvzr7lt3OU09vwQwhkpOPPYv2Y/edit?usp=sharing"",""งบพรบ!ES8"")"),10069400)</f>
        <v>10069400</v>
      </c>
      <c r="M338" s="48">
        <f ca="1">IFERROR(__xludf.DUMMYFUNCTION("IMPORTRANGE(""https://docs.google.com/spreadsheets/d/1-uDff_7J0KD5mKrp0Vvzr7lt3OU09vwQwhkpOPPYv2Y/edit?usp=sharing"",""งบพรบ!EX8"")"),7792500)</f>
        <v>7792500</v>
      </c>
      <c r="N338" s="48">
        <f ca="1">IFERROR(__xludf.DUMMYFUNCTION("IMPORTRANGE(""https://docs.google.com/spreadsheets/d/1-uDff_7J0KD5mKrp0Vvzr7lt3OU09vwQwhkpOPPYv2Y/edit?usp=sharing"",""งบพรบ!EZ8"")"),1291181.18)</f>
        <v>1291181.18</v>
      </c>
      <c r="O338" s="48">
        <f t="shared" ca="1" si="145"/>
        <v>12.822821419349713</v>
      </c>
      <c r="P338" s="404">
        <f t="shared" ca="1" si="146"/>
        <v>16.569537119024702</v>
      </c>
    </row>
    <row r="339" spans="1:16" ht="18.75">
      <c r="A339" s="438"/>
      <c r="B339" s="42"/>
      <c r="C339" s="42"/>
      <c r="D339" s="43" t="s">
        <v>19</v>
      </c>
      <c r="E339" s="42"/>
      <c r="F339" s="42"/>
      <c r="G339" s="44"/>
      <c r="H339" s="134" t="s">
        <v>12</v>
      </c>
      <c r="I339" s="132"/>
      <c r="J339" s="132"/>
      <c r="K339" s="133"/>
      <c r="L339" s="48">
        <f t="shared" ref="L339:N339" ca="1" si="150">L340+L341</f>
        <v>0</v>
      </c>
      <c r="M339" s="48">
        <f t="shared" ca="1" si="150"/>
        <v>0</v>
      </c>
      <c r="N339" s="48">
        <f t="shared" ca="1" si="150"/>
        <v>0</v>
      </c>
      <c r="O339" s="48">
        <f t="shared" ca="1" si="145"/>
        <v>0</v>
      </c>
      <c r="P339" s="404">
        <f t="shared" ca="1" si="146"/>
        <v>0</v>
      </c>
    </row>
    <row r="340" spans="1:16" ht="18.75">
      <c r="A340" s="438"/>
      <c r="B340" s="42"/>
      <c r="C340" s="42"/>
      <c r="D340" s="42"/>
      <c r="E340" s="49" t="s">
        <v>16</v>
      </c>
      <c r="F340" s="42"/>
      <c r="G340" s="44"/>
      <c r="H340" s="131" t="s">
        <v>12</v>
      </c>
      <c r="I340" s="132"/>
      <c r="J340" s="132"/>
      <c r="K340" s="133"/>
      <c r="L340" s="48">
        <f ca="1">IFERROR(__xludf.DUMMYFUNCTION("IMPORTRANGE(""https://docs.google.com/spreadsheets/d/1-uDff_7J0KD5mKrp0Vvzr7lt3OU09vwQwhkpOPPYv2Y/edit?usp=sharing"",""งบพรบ!EV9"")"),0)</f>
        <v>0</v>
      </c>
      <c r="M340" s="48">
        <f ca="1">IFERROR(__xludf.DUMMYFUNCTION("IMPORTRANGE(""https://docs.google.com/spreadsheets/d/1-uDff_7J0KD5mKrp0Vvzr7lt3OU09vwQwhkpOPPYv2Y/edit?usp=sharing"",""งบพรบ!EY9"")"),0)</f>
        <v>0</v>
      </c>
      <c r="N340" s="48">
        <f ca="1">IFERROR(__xludf.DUMMYFUNCTION("IMPORTRANGE(""https://docs.google.com/spreadsheets/d/1-uDff_7J0KD5mKrp0Vvzr7lt3OU09vwQwhkpOPPYv2Y/edit?usp=sharing"",""งบพรบ!FA9"")"),0)</f>
        <v>0</v>
      </c>
      <c r="O340" s="48">
        <f t="shared" ca="1" si="145"/>
        <v>0</v>
      </c>
      <c r="P340" s="404">
        <f t="shared" ca="1" si="146"/>
        <v>0</v>
      </c>
    </row>
    <row r="341" spans="1:16" ht="18.75">
      <c r="A341" s="438"/>
      <c r="B341" s="42"/>
      <c r="C341" s="42"/>
      <c r="D341" s="42"/>
      <c r="E341" s="49" t="s">
        <v>17</v>
      </c>
      <c r="F341" s="42"/>
      <c r="G341" s="44"/>
      <c r="H341" s="134" t="s">
        <v>12</v>
      </c>
      <c r="I341" s="132"/>
      <c r="J341" s="132"/>
      <c r="K341" s="133"/>
      <c r="L341" s="48">
        <f ca="1">IFERROR(__xludf.DUMMYFUNCTION("IMPORTRANGE(""https://docs.google.com/spreadsheets/d/1-uDff_7J0KD5mKrp0Vvzr7lt3OU09vwQwhkpOPPYv2Y/edit?usp=sharing"",""งบพรบ!EV8"")"),0)</f>
        <v>0</v>
      </c>
      <c r="M341" s="48">
        <f ca="1">IFERROR(__xludf.DUMMYFUNCTION("IMPORTRANGE(""https://docs.google.com/spreadsheets/d/1-uDff_7J0KD5mKrp0Vvzr7lt3OU09vwQwhkpOPPYv2Y/edit?usp=sharing"",""งบพรบ!EY8"")"),0)</f>
        <v>0</v>
      </c>
      <c r="N341" s="48">
        <f ca="1">IFERROR(__xludf.DUMMYFUNCTION("IMPORTRANGE(""https://docs.google.com/spreadsheets/d/1-uDff_7J0KD5mKrp0Vvzr7lt3OU09vwQwhkpOPPYv2Y/edit?usp=sharing"",""งบพรบ!FA8"")"),0)</f>
        <v>0</v>
      </c>
      <c r="O341" s="48">
        <f t="shared" ca="1" si="145"/>
        <v>0</v>
      </c>
      <c r="P341" s="404">
        <f t="shared" ca="1" si="146"/>
        <v>0</v>
      </c>
    </row>
    <row r="342" spans="1:16" ht="19.5">
      <c r="A342" s="440"/>
      <c r="B342" s="135"/>
      <c r="C342" s="126" t="s">
        <v>14</v>
      </c>
      <c r="D342" s="211" t="s">
        <v>34</v>
      </c>
      <c r="E342" s="137"/>
      <c r="F342" s="137"/>
      <c r="G342" s="137"/>
      <c r="H342" s="314"/>
      <c r="I342" s="315"/>
      <c r="J342" s="315"/>
      <c r="K342" s="316"/>
      <c r="L342" s="47"/>
      <c r="M342" s="47"/>
      <c r="N342" s="47"/>
      <c r="O342" s="133"/>
      <c r="P342" s="441"/>
    </row>
    <row r="343" spans="1:16" ht="19.5">
      <c r="A343" s="494"/>
      <c r="B343" s="317"/>
      <c r="C343" s="318"/>
      <c r="D343" s="317"/>
      <c r="E343" s="319" t="s">
        <v>123</v>
      </c>
      <c r="F343" s="317"/>
      <c r="G343" s="320"/>
      <c r="H343" s="321" t="s">
        <v>31</v>
      </c>
      <c r="I343" s="322">
        <v>0</v>
      </c>
      <c r="J343" s="322">
        <f ca="1">J344+J347+J348+J349</f>
        <v>22528</v>
      </c>
      <c r="K343" s="323">
        <v>0</v>
      </c>
      <c r="L343" s="324"/>
      <c r="M343" s="324"/>
      <c r="N343" s="324"/>
      <c r="O343" s="324"/>
      <c r="P343" s="495"/>
    </row>
    <row r="344" spans="1:16" ht="18.75">
      <c r="A344" s="496"/>
      <c r="B344" s="325"/>
      <c r="C344" s="326"/>
      <c r="D344" s="327"/>
      <c r="E344" s="328" t="s">
        <v>124</v>
      </c>
      <c r="F344" s="325"/>
      <c r="G344" s="329"/>
      <c r="H344" s="330" t="s">
        <v>31</v>
      </c>
      <c r="I344" s="331">
        <f ca="1">IFERROR(__xludf.DUMMYFUNCTION("IMPORTRANGE(""https://docs.google.com/spreadsheets/d/1-XHdCZLVuuLs4PEabQnSVXw00PPYzJqGd1hkCriq2gk/edit?usp=sharing"",""ศูนย์บริการ!R7"")"),121800)</f>
        <v>121800</v>
      </c>
      <c r="J344" s="331">
        <f ca="1">IFERROR(__xludf.DUMMYFUNCTION("IMPORTRANGE(""https://docs.google.com/spreadsheets/d/1-XHdCZLVuuLs4PEabQnSVXw00PPYzJqGd1hkCriq2gk/edit?usp=sharing"",""ศูนย์บริการ!S7"")"),20325)</f>
        <v>20325</v>
      </c>
      <c r="K344" s="332">
        <f ca="1">IF(I344&gt;0,J344*100/I344,0)</f>
        <v>16.687192118226601</v>
      </c>
      <c r="L344" s="47"/>
      <c r="M344" s="47"/>
      <c r="N344" s="47"/>
      <c r="O344" s="47"/>
      <c r="P344" s="448"/>
    </row>
    <row r="345" spans="1:16" ht="18.75">
      <c r="A345" s="496"/>
      <c r="B345" s="325"/>
      <c r="C345" s="326"/>
      <c r="D345" s="327"/>
      <c r="E345" s="328" t="s">
        <v>125</v>
      </c>
      <c r="F345" s="325"/>
      <c r="G345" s="329"/>
      <c r="H345" s="333"/>
      <c r="I345" s="334"/>
      <c r="J345" s="334"/>
      <c r="K345" s="335"/>
      <c r="L345" s="47"/>
      <c r="M345" s="47"/>
      <c r="N345" s="47"/>
      <c r="O345" s="47"/>
      <c r="P345" s="448"/>
    </row>
    <row r="346" spans="1:16" ht="18.75">
      <c r="A346" s="496"/>
      <c r="B346" s="325"/>
      <c r="C346" s="326"/>
      <c r="D346" s="327"/>
      <c r="E346" s="327"/>
      <c r="F346" s="328" t="s">
        <v>126</v>
      </c>
      <c r="G346" s="329"/>
      <c r="H346" s="336" t="s">
        <v>127</v>
      </c>
      <c r="I346" s="331">
        <f ca="1">IFERROR(__xludf.DUMMYFUNCTION("IMPORTRANGE(""https://docs.google.com/spreadsheets/d/1-XHdCZLVuuLs4PEabQnSVXw00PPYzJqGd1hkCriq2gk/edit?usp=sharing"",""ศูนย์บริการ!U7"")"),266)</f>
        <v>266</v>
      </c>
      <c r="J346" s="331">
        <f ca="1">IFERROR(__xludf.DUMMYFUNCTION("IMPORTRANGE(""https://docs.google.com/spreadsheets/d/1-XHdCZLVuuLs4PEabQnSVXw00PPYzJqGd1hkCriq2gk/edit?usp=sharing"",""ศูนย์บริการ!V7"")"),106)</f>
        <v>106</v>
      </c>
      <c r="K346" s="332">
        <f ca="1">IF(I346&gt;0,J346*100/I346,0)</f>
        <v>39.849624060150376</v>
      </c>
      <c r="L346" s="47"/>
      <c r="M346" s="47"/>
      <c r="N346" s="47"/>
      <c r="O346" s="47"/>
      <c r="P346" s="448"/>
    </row>
    <row r="347" spans="1:16" ht="18.75">
      <c r="A347" s="496"/>
      <c r="B347" s="325"/>
      <c r="C347" s="326"/>
      <c r="D347" s="327"/>
      <c r="E347" s="327"/>
      <c r="F347" s="328" t="s">
        <v>128</v>
      </c>
      <c r="G347" s="329"/>
      <c r="H347" s="336" t="s">
        <v>31</v>
      </c>
      <c r="I347" s="334"/>
      <c r="J347" s="331">
        <f ca="1">IFERROR(__xludf.DUMMYFUNCTION("IMPORTRANGE(""https://docs.google.com/spreadsheets/d/1-XHdCZLVuuLs4PEabQnSVXw00PPYzJqGd1hkCriq2gk/edit?usp=sharing"",""ศูนย์บริการ!X7"")"),1134)</f>
        <v>1134</v>
      </c>
      <c r="K347" s="335"/>
      <c r="L347" s="47"/>
      <c r="M347" s="47"/>
      <c r="N347" s="47"/>
      <c r="O347" s="47"/>
      <c r="P347" s="448"/>
    </row>
    <row r="348" spans="1:16" ht="18.75">
      <c r="A348" s="496"/>
      <c r="B348" s="325"/>
      <c r="C348" s="326"/>
      <c r="D348" s="327"/>
      <c r="E348" s="328" t="s">
        <v>129</v>
      </c>
      <c r="F348" s="327"/>
      <c r="G348" s="329"/>
      <c r="H348" s="336" t="s">
        <v>31</v>
      </c>
      <c r="I348" s="334"/>
      <c r="J348" s="331">
        <f ca="1">IFERROR(__xludf.DUMMYFUNCTION("IMPORTRANGE(""https://docs.google.com/spreadsheets/d/1-XHdCZLVuuLs4PEabQnSVXw00PPYzJqGd1hkCriq2gk/edit?usp=sharing"",""ศูนย์บริการ!Y7"")"),939)</f>
        <v>939</v>
      </c>
      <c r="K348" s="335"/>
      <c r="L348" s="47"/>
      <c r="M348" s="47"/>
      <c r="N348" s="47"/>
      <c r="O348" s="47"/>
      <c r="P348" s="448"/>
    </row>
    <row r="349" spans="1:16" ht="18.75">
      <c r="A349" s="496"/>
      <c r="B349" s="325"/>
      <c r="C349" s="326"/>
      <c r="D349" s="337"/>
      <c r="E349" s="328" t="s">
        <v>130</v>
      </c>
      <c r="F349" s="327"/>
      <c r="G349" s="329"/>
      <c r="H349" s="336" t="s">
        <v>31</v>
      </c>
      <c r="I349" s="334"/>
      <c r="J349" s="331">
        <f ca="1">IFERROR(__xludf.DUMMYFUNCTION("IMPORTRANGE(""https://docs.google.com/spreadsheets/d/1-XHdCZLVuuLs4PEabQnSVXw00PPYzJqGd1hkCriq2gk/edit?usp=sharing"",""ศูนย์บริการ!Z7"")"),130)</f>
        <v>130</v>
      </c>
      <c r="K349" s="335"/>
      <c r="L349" s="47"/>
      <c r="M349" s="47"/>
      <c r="N349" s="47"/>
      <c r="O349" s="47"/>
      <c r="P349" s="448"/>
    </row>
    <row r="350" spans="1:16" ht="16.5">
      <c r="A350" s="496"/>
      <c r="B350" s="325"/>
      <c r="C350" s="326"/>
      <c r="D350" s="33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325"/>
      <c r="F350" s="325"/>
      <c r="G350" s="329"/>
      <c r="H350" s="333"/>
      <c r="I350" s="334"/>
      <c r="J350" s="334"/>
      <c r="K350" s="335"/>
      <c r="L350" s="47"/>
      <c r="M350" s="47"/>
      <c r="N350" s="47"/>
      <c r="O350" s="47"/>
      <c r="P350" s="448"/>
    </row>
    <row r="351" spans="1:16" ht="19.5">
      <c r="A351" s="497"/>
      <c r="B351" s="339"/>
      <c r="C351" s="340"/>
      <c r="D351" s="339"/>
      <c r="E351" s="341" t="s">
        <v>131</v>
      </c>
      <c r="F351" s="339"/>
      <c r="G351" s="342"/>
      <c r="H351" s="343" t="s">
        <v>31</v>
      </c>
      <c r="I351" s="344">
        <v>0</v>
      </c>
      <c r="J351" s="344">
        <f ca="1">J352+J353</f>
        <v>99171</v>
      </c>
      <c r="K351" s="345">
        <v>0</v>
      </c>
      <c r="L351" s="227"/>
      <c r="M351" s="227"/>
      <c r="N351" s="227"/>
      <c r="O351" s="227"/>
      <c r="P351" s="465"/>
    </row>
    <row r="352" spans="1:16" ht="18.75">
      <c r="A352" s="496"/>
      <c r="B352" s="325"/>
      <c r="C352" s="326"/>
      <c r="D352" s="327"/>
      <c r="E352" s="328" t="s">
        <v>132</v>
      </c>
      <c r="F352" s="325"/>
      <c r="G352" s="329"/>
      <c r="H352" s="346" t="s">
        <v>31</v>
      </c>
      <c r="I352" s="334"/>
      <c r="J352" s="331">
        <f ca="1">IFERROR(__xludf.DUMMYFUNCTION("IMPORTRANGE(""https://docs.google.com/spreadsheets/d/1-XHdCZLVuuLs4PEabQnSVXw00PPYzJqGd1hkCriq2gk/edit?usp=sharing"",""ศูนย์บริการ!AA7"")"),36354)</f>
        <v>36354</v>
      </c>
      <c r="K352" s="335"/>
      <c r="L352" s="47"/>
      <c r="M352" s="47"/>
      <c r="N352" s="47"/>
      <c r="O352" s="47"/>
      <c r="P352" s="448"/>
    </row>
    <row r="353" spans="1:16" ht="18.75">
      <c r="A353" s="496"/>
      <c r="B353" s="325"/>
      <c r="C353" s="326"/>
      <c r="D353" s="327"/>
      <c r="E353" s="328" t="s">
        <v>133</v>
      </c>
      <c r="F353" s="325"/>
      <c r="G353" s="329"/>
      <c r="H353" s="346" t="s">
        <v>31</v>
      </c>
      <c r="I353" s="334"/>
      <c r="J353" s="331">
        <f ca="1">IFERROR(__xludf.DUMMYFUNCTION("IMPORTRANGE(""https://docs.google.com/spreadsheets/d/1-XHdCZLVuuLs4PEabQnSVXw00PPYzJqGd1hkCriq2gk/edit?usp=sharing"",""ศูนย์บริการ!AB7"")"),62817)</f>
        <v>62817</v>
      </c>
      <c r="K353" s="335"/>
      <c r="L353" s="47"/>
      <c r="M353" s="47"/>
      <c r="N353" s="47"/>
      <c r="O353" s="47"/>
      <c r="P353" s="448"/>
    </row>
    <row r="354" spans="1:16" ht="16.5">
      <c r="A354" s="496"/>
      <c r="B354" s="325"/>
      <c r="C354" s="326"/>
      <c r="D354" s="33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325"/>
      <c r="F354" s="325"/>
      <c r="G354" s="329"/>
      <c r="H354" s="333"/>
      <c r="I354" s="334"/>
      <c r="J354" s="334"/>
      <c r="K354" s="335"/>
      <c r="L354" s="47"/>
      <c r="M354" s="47"/>
      <c r="N354" s="47"/>
      <c r="O354" s="47"/>
      <c r="P354" s="448"/>
    </row>
    <row r="355" spans="1:16" ht="19.5">
      <c r="A355" s="491"/>
      <c r="B355" s="302" t="s">
        <v>134</v>
      </c>
      <c r="C355" s="310"/>
      <c r="D355" s="303"/>
      <c r="E355" s="303"/>
      <c r="F355" s="303"/>
      <c r="G355" s="304"/>
      <c r="H355" s="304"/>
      <c r="I355" s="347"/>
      <c r="J355" s="347"/>
      <c r="K355" s="308"/>
      <c r="L355" s="308"/>
      <c r="M355" s="308"/>
      <c r="N355" s="308"/>
      <c r="O355" s="308"/>
      <c r="P355" s="492"/>
    </row>
    <row r="356" spans="1:16" ht="19.5">
      <c r="A356" s="438"/>
      <c r="B356" s="42"/>
      <c r="C356" s="126" t="s">
        <v>14</v>
      </c>
      <c r="D356" s="127" t="s">
        <v>15</v>
      </c>
      <c r="E356" s="42"/>
      <c r="F356" s="42"/>
      <c r="G356" s="44"/>
      <c r="H356" s="128" t="s">
        <v>12</v>
      </c>
      <c r="I356" s="46"/>
      <c r="J356" s="46"/>
      <c r="K356" s="47"/>
      <c r="L356" s="129">
        <f t="shared" ref="L356:N356" ca="1" si="151">L357+L358</f>
        <v>64611100</v>
      </c>
      <c r="M356" s="129">
        <f t="shared" ca="1" si="151"/>
        <v>51530000</v>
      </c>
      <c r="N356" s="129">
        <f t="shared" ca="1" si="151"/>
        <v>10387826.23</v>
      </c>
      <c r="O356" s="129">
        <f t="shared" ref="O356:O364" ca="1" si="152">IF(L356&gt;0,N356*100/L356,0)</f>
        <v>16.077463825875121</v>
      </c>
      <c r="P356" s="439">
        <f t="shared" ref="P356:P364" ca="1" si="153">IF(M356&gt;0,N356*100/M356,0)</f>
        <v>20.158793382495634</v>
      </c>
    </row>
    <row r="357" spans="1:16" ht="18.75">
      <c r="A357" s="438"/>
      <c r="B357" s="42"/>
      <c r="C357" s="42"/>
      <c r="D357" s="42"/>
      <c r="E357" s="49" t="s">
        <v>16</v>
      </c>
      <c r="F357" s="42"/>
      <c r="G357" s="44"/>
      <c r="H357" s="130" t="s">
        <v>12</v>
      </c>
      <c r="I357" s="46"/>
      <c r="J357" s="46"/>
      <c r="K357" s="47"/>
      <c r="L357" s="48">
        <f t="shared" ref="L357:N357" ca="1" si="154">L360+L363</f>
        <v>25043055</v>
      </c>
      <c r="M357" s="48">
        <f t="shared" ca="1" si="154"/>
        <v>18278890</v>
      </c>
      <c r="N357" s="48">
        <f t="shared" ca="1" si="154"/>
        <v>3923131.22</v>
      </c>
      <c r="O357" s="48">
        <f t="shared" ca="1" si="152"/>
        <v>15.665545677234666</v>
      </c>
      <c r="P357" s="404">
        <f t="shared" ca="1" si="153"/>
        <v>21.46263378137294</v>
      </c>
    </row>
    <row r="358" spans="1:16" ht="18.75">
      <c r="A358" s="438"/>
      <c r="B358" s="42"/>
      <c r="C358" s="42"/>
      <c r="D358" s="42"/>
      <c r="E358" s="49" t="s">
        <v>17</v>
      </c>
      <c r="F358" s="42"/>
      <c r="G358" s="44"/>
      <c r="H358" s="130" t="s">
        <v>12</v>
      </c>
      <c r="I358" s="46"/>
      <c r="J358" s="46"/>
      <c r="K358" s="47"/>
      <c r="L358" s="48">
        <f t="shared" ref="L358:N358" ca="1" si="155">L361+L364</f>
        <v>39568045</v>
      </c>
      <c r="M358" s="48">
        <f t="shared" ca="1" si="155"/>
        <v>33251110</v>
      </c>
      <c r="N358" s="48">
        <f t="shared" ca="1" si="155"/>
        <v>6464695.0099999998</v>
      </c>
      <c r="O358" s="48">
        <f t="shared" ca="1" si="152"/>
        <v>16.338171395629985</v>
      </c>
      <c r="P358" s="404">
        <f t="shared" ca="1" si="153"/>
        <v>19.442042716769457</v>
      </c>
    </row>
    <row r="359" spans="1:16" ht="18.75">
      <c r="A359" s="438"/>
      <c r="B359" s="42"/>
      <c r="C359" s="42"/>
      <c r="D359" s="43" t="s">
        <v>18</v>
      </c>
      <c r="E359" s="42"/>
      <c r="F359" s="42"/>
      <c r="G359" s="44"/>
      <c r="H359" s="131" t="s">
        <v>12</v>
      </c>
      <c r="I359" s="132"/>
      <c r="J359" s="132"/>
      <c r="K359" s="133"/>
      <c r="L359" s="48">
        <f t="shared" ref="L359:N359" ca="1" si="156">L360+L361</f>
        <v>64611100</v>
      </c>
      <c r="M359" s="48">
        <f t="shared" ca="1" si="156"/>
        <v>51530000</v>
      </c>
      <c r="N359" s="48">
        <f t="shared" ca="1" si="156"/>
        <v>10387826.23</v>
      </c>
      <c r="O359" s="48">
        <f t="shared" ca="1" si="152"/>
        <v>16.077463825875121</v>
      </c>
      <c r="P359" s="404">
        <f t="shared" ca="1" si="153"/>
        <v>20.158793382495634</v>
      </c>
    </row>
    <row r="360" spans="1:16" ht="18.75">
      <c r="A360" s="438"/>
      <c r="B360" s="42"/>
      <c r="C360" s="42"/>
      <c r="D360" s="42"/>
      <c r="E360" s="49" t="s">
        <v>32</v>
      </c>
      <c r="F360" s="42"/>
      <c r="G360" s="44"/>
      <c r="H360" s="131" t="s">
        <v>12</v>
      </c>
      <c r="I360" s="132"/>
      <c r="J360" s="132"/>
      <c r="K360" s="133"/>
      <c r="L360" s="48">
        <f ca="1">IFERROR(__xludf.DUMMYFUNCTION("IMPORTRANGE(""https://docs.google.com/spreadsheets/d/1-uDff_7J0KD5mKrp0Vvzr7lt3OU09vwQwhkpOPPYv2Y/edit?usp=sharing"",""งบพรบ!FC9"")"),25043055)</f>
        <v>25043055</v>
      </c>
      <c r="M360" s="48">
        <f ca="1">IFERROR(__xludf.DUMMYFUNCTION("IMPORTRANGE(""https://docs.google.com/spreadsheets/d/1-uDff_7J0KD5mKrp0Vvzr7lt3OU09vwQwhkpOPPYv2Y/edit?usp=sharing"",""งบพรบ!FH9"")"),18278890)</f>
        <v>18278890</v>
      </c>
      <c r="N360" s="48">
        <f ca="1">IFERROR(__xludf.DUMMYFUNCTION("IMPORTRANGE(""https://docs.google.com/spreadsheets/d/1-uDff_7J0KD5mKrp0Vvzr7lt3OU09vwQwhkpOPPYv2Y/edit?usp=sharing"",""งบพรบ!FJ9"")"),3923131.22)</f>
        <v>3923131.22</v>
      </c>
      <c r="O360" s="48">
        <f t="shared" ca="1" si="152"/>
        <v>15.665545677234666</v>
      </c>
      <c r="P360" s="404">
        <f t="shared" ca="1" si="153"/>
        <v>21.46263378137294</v>
      </c>
    </row>
    <row r="361" spans="1:16" ht="18.75">
      <c r="A361" s="438"/>
      <c r="B361" s="42"/>
      <c r="C361" s="42"/>
      <c r="D361" s="42"/>
      <c r="E361" s="49" t="s">
        <v>33</v>
      </c>
      <c r="F361" s="42"/>
      <c r="G361" s="44"/>
      <c r="H361" s="131" t="s">
        <v>12</v>
      </c>
      <c r="I361" s="132"/>
      <c r="J361" s="132"/>
      <c r="K361" s="133"/>
      <c r="L361" s="48">
        <f ca="1">IFERROR(__xludf.DUMMYFUNCTION("IMPORTRANGE(""https://docs.google.com/spreadsheets/d/1-uDff_7J0KD5mKrp0Vvzr7lt3OU09vwQwhkpOPPYv2Y/edit?usp=sharing"",""งบพรบ!FC8"")"),39568045)</f>
        <v>39568045</v>
      </c>
      <c r="M361" s="48">
        <f ca="1">IFERROR(__xludf.DUMMYFUNCTION("IMPORTRANGE(""https://docs.google.com/spreadsheets/d/1-uDff_7J0KD5mKrp0Vvzr7lt3OU09vwQwhkpOPPYv2Y/edit?usp=sharing"",""งบพรบ!FH8"")"),33251110)</f>
        <v>33251110</v>
      </c>
      <c r="N361" s="48">
        <f ca="1">IFERROR(__xludf.DUMMYFUNCTION("IMPORTRANGE(""https://docs.google.com/spreadsheets/d/1-uDff_7J0KD5mKrp0Vvzr7lt3OU09vwQwhkpOPPYv2Y/edit?usp=sharing"",""งบพรบ!FJ8"")"),6464695.01)</f>
        <v>6464695.0099999998</v>
      </c>
      <c r="O361" s="48">
        <f t="shared" ca="1" si="152"/>
        <v>16.338171395629985</v>
      </c>
      <c r="P361" s="404">
        <f t="shared" ca="1" si="153"/>
        <v>19.442042716769457</v>
      </c>
    </row>
    <row r="362" spans="1:16" ht="18.75">
      <c r="A362" s="438"/>
      <c r="B362" s="42"/>
      <c r="C362" s="42"/>
      <c r="D362" s="43" t="s">
        <v>19</v>
      </c>
      <c r="E362" s="42"/>
      <c r="F362" s="42"/>
      <c r="G362" s="44"/>
      <c r="H362" s="134" t="s">
        <v>12</v>
      </c>
      <c r="I362" s="132"/>
      <c r="J362" s="132"/>
      <c r="K362" s="133"/>
      <c r="L362" s="48">
        <f t="shared" ref="L362:N362" ca="1" si="157">L363+L364</f>
        <v>0</v>
      </c>
      <c r="M362" s="48">
        <f t="shared" ca="1" si="157"/>
        <v>0</v>
      </c>
      <c r="N362" s="48">
        <f t="shared" ca="1" si="157"/>
        <v>0</v>
      </c>
      <c r="O362" s="48">
        <f t="shared" ca="1" si="152"/>
        <v>0</v>
      </c>
      <c r="P362" s="404">
        <f t="shared" ca="1" si="153"/>
        <v>0</v>
      </c>
    </row>
    <row r="363" spans="1:16" ht="18.75">
      <c r="A363" s="438"/>
      <c r="B363" s="42"/>
      <c r="C363" s="42"/>
      <c r="D363" s="42"/>
      <c r="E363" s="49" t="s">
        <v>16</v>
      </c>
      <c r="F363" s="42"/>
      <c r="G363" s="44"/>
      <c r="H363" s="131" t="s">
        <v>12</v>
      </c>
      <c r="I363" s="132"/>
      <c r="J363" s="132"/>
      <c r="K363" s="133"/>
      <c r="L363" s="48">
        <f ca="1">IFERROR(__xludf.DUMMYFUNCTION("IMPORTRANGE(""https://docs.google.com/spreadsheets/d/1-uDff_7J0KD5mKrp0Vvzr7lt3OU09vwQwhkpOPPYv2Y/edit?usp=sharing"",""งบพรบ!FF9"")"),0)</f>
        <v>0</v>
      </c>
      <c r="M363" s="48">
        <f ca="1">IFERROR(__xludf.DUMMYFUNCTION("IMPORTRANGE(""https://docs.google.com/spreadsheets/d/1-uDff_7J0KD5mKrp0Vvzr7lt3OU09vwQwhkpOPPYv2Y/edit?usp=sharing"",""งบพรบ!FI9"")"),0)</f>
        <v>0</v>
      </c>
      <c r="N363" s="48">
        <f ca="1">IFERROR(__xludf.DUMMYFUNCTION("IMPORTRANGE(""https://docs.google.com/spreadsheets/d/1-uDff_7J0KD5mKrp0Vvzr7lt3OU09vwQwhkpOPPYv2Y/edit?usp=sharing"",""งบพรบ!FK9"")"),0)</f>
        <v>0</v>
      </c>
      <c r="O363" s="48">
        <f t="shared" ca="1" si="152"/>
        <v>0</v>
      </c>
      <c r="P363" s="404">
        <f t="shared" ca="1" si="153"/>
        <v>0</v>
      </c>
    </row>
    <row r="364" spans="1:16" ht="18.75">
      <c r="A364" s="438"/>
      <c r="B364" s="42"/>
      <c r="C364" s="42"/>
      <c r="D364" s="42"/>
      <c r="E364" s="49" t="s">
        <v>17</v>
      </c>
      <c r="F364" s="42"/>
      <c r="G364" s="44"/>
      <c r="H364" s="134" t="s">
        <v>12</v>
      </c>
      <c r="I364" s="132"/>
      <c r="J364" s="132"/>
      <c r="K364" s="133"/>
      <c r="L364" s="48">
        <f ca="1">IFERROR(__xludf.DUMMYFUNCTION("IMPORTRANGE(""https://docs.google.com/spreadsheets/d/1-uDff_7J0KD5mKrp0Vvzr7lt3OU09vwQwhkpOPPYv2Y/edit?usp=sharing"",""งบพรบ!FF8"")"),0)</f>
        <v>0</v>
      </c>
      <c r="M364" s="48">
        <f ca="1">IFERROR(__xludf.DUMMYFUNCTION("IMPORTRANGE(""https://docs.google.com/spreadsheets/d/1-uDff_7J0KD5mKrp0Vvzr7lt3OU09vwQwhkpOPPYv2Y/edit?usp=sharing"",""งบพรบ!FI8"")"),0)</f>
        <v>0</v>
      </c>
      <c r="N364" s="48">
        <f ca="1">IFERROR(__xludf.DUMMYFUNCTION("IMPORTRANGE(""https://docs.google.com/spreadsheets/d/1-uDff_7J0KD5mKrp0Vvzr7lt3OU09vwQwhkpOPPYv2Y/edit?usp=sharing"",""งบพรบ!FK8"")"),0)</f>
        <v>0</v>
      </c>
      <c r="O364" s="48">
        <f t="shared" ca="1" si="152"/>
        <v>0</v>
      </c>
      <c r="P364" s="404">
        <f t="shared" ca="1" si="153"/>
        <v>0</v>
      </c>
    </row>
    <row r="365" spans="1:16" ht="19.5">
      <c r="A365" s="464"/>
      <c r="B365" s="220"/>
      <c r="C365" s="222"/>
      <c r="D365" s="348" t="s">
        <v>135</v>
      </c>
      <c r="E365" s="222"/>
      <c r="F365" s="222"/>
      <c r="G365" s="223"/>
      <c r="H365" s="231" t="s">
        <v>31</v>
      </c>
      <c r="I365" s="349">
        <f t="shared" ref="I365:J365" ca="1" si="158">I371</f>
        <v>16000</v>
      </c>
      <c r="J365" s="349">
        <f t="shared" ca="1" si="158"/>
        <v>2950</v>
      </c>
      <c r="K365" s="350">
        <f ca="1">IF(I365&gt;0,J365*100/I365,0)</f>
        <v>18.4375</v>
      </c>
      <c r="L365" s="227"/>
      <c r="M365" s="227"/>
      <c r="N365" s="227"/>
      <c r="O365" s="227"/>
      <c r="P365" s="465"/>
    </row>
    <row r="366" spans="1:16" ht="19.5">
      <c r="A366" s="440"/>
      <c r="B366" s="135"/>
      <c r="C366" s="126" t="s">
        <v>14</v>
      </c>
      <c r="D366" s="136" t="s">
        <v>34</v>
      </c>
      <c r="E366" s="137"/>
      <c r="F366" s="137"/>
      <c r="G366" s="138"/>
      <c r="H366" s="139"/>
      <c r="I366" s="46"/>
      <c r="J366" s="46"/>
      <c r="K366" s="47"/>
      <c r="L366" s="133"/>
      <c r="M366" s="133"/>
      <c r="N366" s="133"/>
      <c r="O366" s="133"/>
      <c r="P366" s="441"/>
    </row>
    <row r="367" spans="1:16" ht="18.75">
      <c r="A367" s="440"/>
      <c r="B367" s="141"/>
      <c r="C367" s="135"/>
      <c r="D367" s="141"/>
      <c r="E367" s="140" t="s">
        <v>136</v>
      </c>
      <c r="F367" s="141"/>
      <c r="G367" s="139"/>
      <c r="H367" s="149" t="s">
        <v>31</v>
      </c>
      <c r="I367" s="158">
        <v>0</v>
      </c>
      <c r="J367" s="158">
        <f ca="1">IFERROR(__xludf.DUMMYFUNCTION("IMPORTRANGE(""https://docs.google.com/spreadsheets/d/1-XHdCZLVuuLs4PEabQnSVXw00PPYzJqGd1hkCriq2gk/edit?usp=sharing"",""จัดที่ดิน!S7"")"),1626)</f>
        <v>1626</v>
      </c>
      <c r="K367" s="48">
        <f t="shared" ref="K367:K372" si="159">IF(I367&gt;0,J367*100/I367,0)</f>
        <v>0</v>
      </c>
      <c r="L367" s="133"/>
      <c r="M367" s="133"/>
      <c r="N367" s="133"/>
      <c r="O367" s="133"/>
      <c r="P367" s="441"/>
    </row>
    <row r="368" spans="1:16" ht="18.75">
      <c r="A368" s="440"/>
      <c r="B368" s="141"/>
      <c r="C368" s="135"/>
      <c r="D368" s="141"/>
      <c r="E368" s="141"/>
      <c r="F368" s="141"/>
      <c r="G368" s="139"/>
      <c r="H368" s="149" t="s">
        <v>42</v>
      </c>
      <c r="I368" s="158">
        <f ca="1">IFERROR(__xludf.DUMMYFUNCTION("IMPORTRANGE(""https://docs.google.com/spreadsheets/d/1-XHdCZLVuuLs4PEabQnSVXw00PPYzJqGd1hkCriq2gk/edit?usp=sharing"",""จัดที่ดิน!R7"")"),140750)</f>
        <v>140750</v>
      </c>
      <c r="J368" s="351">
        <f ca="1">IFERROR(__xludf.DUMMYFUNCTION("IMPORTRANGE(""https://docs.google.com/spreadsheets/d/1-XHdCZLVuuLs4PEabQnSVXw00PPYzJqGd1hkCriq2gk/edit?usp=sharing"",""จัดที่ดิน!T7"")"),14398.38)</f>
        <v>14398.38</v>
      </c>
      <c r="K368" s="48">
        <f t="shared" ca="1" si="159"/>
        <v>10.22975488454707</v>
      </c>
      <c r="L368" s="133"/>
      <c r="M368" s="133"/>
      <c r="N368" s="133"/>
      <c r="O368" s="133"/>
      <c r="P368" s="441"/>
    </row>
    <row r="369" spans="1:16" ht="18.75">
      <c r="A369" s="440"/>
      <c r="B369" s="141"/>
      <c r="C369" s="135"/>
      <c r="D369" s="141"/>
      <c r="E369" s="140" t="s">
        <v>137</v>
      </c>
      <c r="F369" s="141"/>
      <c r="G369" s="139"/>
      <c r="H369" s="146" t="s">
        <v>31</v>
      </c>
      <c r="I369" s="158">
        <f ca="1">IFERROR(__xludf.DUMMYFUNCTION("IMPORTRANGE(""https://docs.google.com/spreadsheets/d/1-XHdCZLVuuLs4PEabQnSVXw00PPYzJqGd1hkCriq2gk/edit?usp=sharing"",""จัดที่ดิน!V7"")"),24000)</f>
        <v>24000</v>
      </c>
      <c r="J369" s="158">
        <f ca="1">IFERROR(__xludf.DUMMYFUNCTION("IMPORTRANGE(""https://docs.google.com/spreadsheets/d/1-XHdCZLVuuLs4PEabQnSVXw00PPYzJqGd1hkCriq2gk/edit?usp=sharing"",""จัดที่ดิน!W7"")"),4961)</f>
        <v>4961</v>
      </c>
      <c r="K369" s="48">
        <f t="shared" ca="1" si="159"/>
        <v>20.670833333333334</v>
      </c>
      <c r="L369" s="133"/>
      <c r="M369" s="133"/>
      <c r="N369" s="133"/>
      <c r="O369" s="133"/>
      <c r="P369" s="441"/>
    </row>
    <row r="370" spans="1:16" ht="18.75">
      <c r="A370" s="440"/>
      <c r="B370" s="141"/>
      <c r="C370" s="135"/>
      <c r="D370" s="141"/>
      <c r="E370" s="141"/>
      <c r="F370" s="141"/>
      <c r="G370" s="139"/>
      <c r="H370" s="146" t="s">
        <v>42</v>
      </c>
      <c r="I370" s="158">
        <v>0</v>
      </c>
      <c r="J370" s="351">
        <f ca="1">IFERROR(__xludf.DUMMYFUNCTION("IMPORTRANGE(""https://docs.google.com/spreadsheets/d/1-XHdCZLVuuLs4PEabQnSVXw00PPYzJqGd1hkCriq2gk/edit?usp=sharing"",""จัดที่ดิน!X7"")"),62363.45)</f>
        <v>62363.45</v>
      </c>
      <c r="K370" s="48">
        <f t="shared" si="159"/>
        <v>0</v>
      </c>
      <c r="L370" s="133"/>
      <c r="M370" s="133"/>
      <c r="N370" s="133"/>
      <c r="O370" s="133"/>
      <c r="P370" s="441"/>
    </row>
    <row r="371" spans="1:16" ht="18.75">
      <c r="A371" s="440"/>
      <c r="B371" s="141"/>
      <c r="C371" s="135"/>
      <c r="D371" s="141"/>
      <c r="E371" s="140" t="s">
        <v>138</v>
      </c>
      <c r="F371" s="141"/>
      <c r="G371" s="139"/>
      <c r="H371" s="146" t="s">
        <v>31</v>
      </c>
      <c r="I371" s="158">
        <f ca="1">IFERROR(__xludf.DUMMYFUNCTION("IMPORTRANGE(""https://docs.google.com/spreadsheets/d/1-XHdCZLVuuLs4PEabQnSVXw00PPYzJqGd1hkCriq2gk/edit?usp=sharing"",""จัดที่ดิน!Z7"")"),16000)</f>
        <v>16000</v>
      </c>
      <c r="J371" s="158">
        <f ca="1">IFERROR(__xludf.DUMMYFUNCTION("IMPORTRANGE(""https://docs.google.com/spreadsheets/d/1-XHdCZLVuuLs4PEabQnSVXw00PPYzJqGd1hkCriq2gk/edit?usp=sharing"",""จัดที่ดิน!AA7"")"),2950)</f>
        <v>2950</v>
      </c>
      <c r="K371" s="48">
        <f t="shared" ca="1" si="159"/>
        <v>18.4375</v>
      </c>
      <c r="L371" s="133"/>
      <c r="M371" s="133"/>
      <c r="N371" s="133"/>
      <c r="O371" s="133"/>
      <c r="P371" s="441"/>
    </row>
    <row r="372" spans="1:16" ht="18.75">
      <c r="A372" s="498"/>
      <c r="B372" s="444"/>
      <c r="C372" s="473"/>
      <c r="D372" s="444"/>
      <c r="E372" s="444"/>
      <c r="F372" s="444"/>
      <c r="G372" s="267"/>
      <c r="H372" s="352" t="s">
        <v>42</v>
      </c>
      <c r="I372" s="201">
        <v>0</v>
      </c>
      <c r="J372" s="353">
        <f ca="1">IFERROR(__xludf.DUMMYFUNCTION("IMPORTRANGE(""https://docs.google.com/spreadsheets/d/1-XHdCZLVuuLs4PEabQnSVXw00PPYzJqGd1hkCriq2gk/edit?usp=sharing"",""จัดที่ดิน!AB7"")"),38386.01)</f>
        <v>38386.01</v>
      </c>
      <c r="K372" s="113">
        <f t="shared" si="159"/>
        <v>0</v>
      </c>
      <c r="L372" s="269"/>
      <c r="M372" s="269"/>
      <c r="N372" s="269"/>
      <c r="O372" s="269"/>
      <c r="P372" s="475"/>
    </row>
    <row r="373" spans="1:16" ht="19.5">
      <c r="A373" s="499"/>
      <c r="B373" s="354"/>
      <c r="C373" s="355"/>
      <c r="D373" s="356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357"/>
      <c r="F373" s="357"/>
      <c r="G373" s="357"/>
      <c r="H373" s="358"/>
      <c r="I373" s="359"/>
      <c r="J373" s="359"/>
      <c r="K373" s="360"/>
      <c r="L373" s="360"/>
      <c r="M373" s="360"/>
      <c r="N373" s="360"/>
      <c r="O373" s="360"/>
      <c r="P373" s="500"/>
    </row>
    <row r="374" spans="1:16" ht="19.5">
      <c r="A374" s="501" t="s">
        <v>139</v>
      </c>
      <c r="B374" s="361"/>
      <c r="C374" s="361"/>
      <c r="D374" s="361"/>
      <c r="E374" s="362"/>
      <c r="F374" s="362"/>
      <c r="G374" s="362"/>
      <c r="H374" s="362"/>
      <c r="I374" s="363"/>
      <c r="J374" s="363"/>
      <c r="K374" s="364"/>
      <c r="L374" s="364"/>
      <c r="M374" s="364"/>
      <c r="N374" s="364"/>
      <c r="O374" s="364"/>
      <c r="P374" s="502"/>
    </row>
    <row r="375" spans="1:16" ht="19.5">
      <c r="A375" s="503" t="s">
        <v>140</v>
      </c>
      <c r="B375" s="365"/>
      <c r="C375" s="365"/>
      <c r="D375" s="366"/>
      <c r="E375" s="365"/>
      <c r="F375" s="365"/>
      <c r="G375" s="365"/>
      <c r="H375" s="367"/>
      <c r="I375" s="368"/>
      <c r="J375" s="368"/>
      <c r="K375" s="369"/>
      <c r="L375" s="369"/>
      <c r="M375" s="369"/>
      <c r="N375" s="369"/>
      <c r="O375" s="369"/>
      <c r="P375" s="504"/>
    </row>
    <row r="376" spans="1:16" ht="19.5">
      <c r="A376" s="505"/>
      <c r="B376" s="370" t="s">
        <v>141</v>
      </c>
      <c r="C376" s="371"/>
      <c r="D376" s="372"/>
      <c r="E376" s="372"/>
      <c r="F376" s="372"/>
      <c r="G376" s="373"/>
      <c r="H376" s="374" t="s">
        <v>52</v>
      </c>
      <c r="I376" s="375">
        <f t="shared" ref="I376:J376" si="160">I388</f>
        <v>0</v>
      </c>
      <c r="J376" s="375">
        <f t="shared" si="160"/>
        <v>0</v>
      </c>
      <c r="K376" s="376">
        <f>IF(I376&gt;0,J376*100/I376,0)</f>
        <v>0</v>
      </c>
      <c r="L376" s="377"/>
      <c r="M376" s="377"/>
      <c r="N376" s="377"/>
      <c r="O376" s="377"/>
      <c r="P376" s="506"/>
    </row>
    <row r="377" spans="1:16" ht="19.5">
      <c r="A377" s="438"/>
      <c r="B377" s="42"/>
      <c r="C377" s="126" t="s">
        <v>14</v>
      </c>
      <c r="D377" s="127" t="s">
        <v>15</v>
      </c>
      <c r="E377" s="42"/>
      <c r="F377" s="42"/>
      <c r="G377" s="44"/>
      <c r="H377" s="128" t="s">
        <v>12</v>
      </c>
      <c r="I377" s="46"/>
      <c r="J377" s="46"/>
      <c r="K377" s="47"/>
      <c r="L377" s="129">
        <f t="shared" ref="L377:N377" ca="1" si="161">L378+L379</f>
        <v>12445400</v>
      </c>
      <c r="M377" s="129">
        <f t="shared" ca="1" si="161"/>
        <v>0</v>
      </c>
      <c r="N377" s="129">
        <f t="shared" ca="1" si="161"/>
        <v>0</v>
      </c>
      <c r="O377" s="129">
        <f t="shared" ref="O377:O385" ca="1" si="162">IF(L377&gt;0,N377*100/L377,0)</f>
        <v>0</v>
      </c>
      <c r="P377" s="439">
        <f t="shared" ref="P377:P385" ca="1" si="163">IF(M377&gt;0,N377*100/M377,0)</f>
        <v>0</v>
      </c>
    </row>
    <row r="378" spans="1:16" ht="18.75">
      <c r="A378" s="438"/>
      <c r="B378" s="42"/>
      <c r="C378" s="42"/>
      <c r="D378" s="42"/>
      <c r="E378" s="49" t="s">
        <v>16</v>
      </c>
      <c r="F378" s="42"/>
      <c r="G378" s="44"/>
      <c r="H378" s="130" t="s">
        <v>12</v>
      </c>
      <c r="I378" s="46"/>
      <c r="J378" s="46"/>
      <c r="K378" s="47"/>
      <c r="L378" s="48">
        <f t="shared" ref="L378:N378" ca="1" si="164">L381+L384</f>
        <v>0</v>
      </c>
      <c r="M378" s="48">
        <f t="shared" ca="1" si="164"/>
        <v>0</v>
      </c>
      <c r="N378" s="48">
        <f t="shared" ca="1" si="164"/>
        <v>0</v>
      </c>
      <c r="O378" s="48">
        <f t="shared" ca="1" si="162"/>
        <v>0</v>
      </c>
      <c r="P378" s="404">
        <f t="shared" ca="1" si="163"/>
        <v>0</v>
      </c>
    </row>
    <row r="379" spans="1:16" ht="18.75">
      <c r="A379" s="438"/>
      <c r="B379" s="42"/>
      <c r="C379" s="42"/>
      <c r="D379" s="42"/>
      <c r="E379" s="49" t="s">
        <v>17</v>
      </c>
      <c r="F379" s="42"/>
      <c r="G379" s="44"/>
      <c r="H379" s="130" t="s">
        <v>12</v>
      </c>
      <c r="I379" s="46"/>
      <c r="J379" s="46"/>
      <c r="K379" s="47"/>
      <c r="L379" s="48">
        <f t="shared" ref="L379:N379" ca="1" si="165">L382+L385</f>
        <v>12445400</v>
      </c>
      <c r="M379" s="48">
        <f t="shared" ca="1" si="165"/>
        <v>0</v>
      </c>
      <c r="N379" s="48">
        <f t="shared" ca="1" si="165"/>
        <v>0</v>
      </c>
      <c r="O379" s="48">
        <f t="shared" ca="1" si="162"/>
        <v>0</v>
      </c>
      <c r="P379" s="404">
        <f t="shared" ca="1" si="163"/>
        <v>0</v>
      </c>
    </row>
    <row r="380" spans="1:16" ht="18.75">
      <c r="A380" s="438"/>
      <c r="B380" s="42"/>
      <c r="C380" s="42"/>
      <c r="D380" s="43" t="s">
        <v>18</v>
      </c>
      <c r="E380" s="42"/>
      <c r="F380" s="42"/>
      <c r="G380" s="44"/>
      <c r="H380" s="131" t="s">
        <v>12</v>
      </c>
      <c r="I380" s="132"/>
      <c r="J380" s="132"/>
      <c r="K380" s="133"/>
      <c r="L380" s="48">
        <f t="shared" ref="L380:N380" ca="1" si="166">L381+L382</f>
        <v>0</v>
      </c>
      <c r="M380" s="48">
        <f t="shared" ca="1" si="166"/>
        <v>0</v>
      </c>
      <c r="N380" s="48">
        <f t="shared" ca="1" si="166"/>
        <v>0</v>
      </c>
      <c r="O380" s="48">
        <f t="shared" ca="1" si="162"/>
        <v>0</v>
      </c>
      <c r="P380" s="404">
        <f t="shared" ca="1" si="163"/>
        <v>0</v>
      </c>
    </row>
    <row r="381" spans="1:16" ht="18.75">
      <c r="A381" s="438"/>
      <c r="B381" s="42"/>
      <c r="C381" s="42"/>
      <c r="D381" s="42"/>
      <c r="E381" s="49" t="s">
        <v>32</v>
      </c>
      <c r="F381" s="42"/>
      <c r="G381" s="44"/>
      <c r="H381" s="131" t="s">
        <v>12</v>
      </c>
      <c r="I381" s="132"/>
      <c r="J381" s="132"/>
      <c r="K381" s="133"/>
      <c r="L381" s="48">
        <f ca="1">IFERROR(__xludf.DUMMYFUNCTION("IMPORTRANGE(""https://docs.google.com/spreadsheets/d/1-uDff_7J0KD5mKrp0Vvzr7lt3OU09vwQwhkpOPPYv2Y/edit?usp=sharing"",""งบพรบ!FM9"")"),0)</f>
        <v>0</v>
      </c>
      <c r="M381" s="48">
        <f ca="1">IFERROR(__xludf.DUMMYFUNCTION("IMPORTRANGE(""https://docs.google.com/spreadsheets/d/1-uDff_7J0KD5mKrp0Vvzr7lt3OU09vwQwhkpOPPYv2Y/edit?usp=sharing"",""งบพรบ!FR9"")"),0)</f>
        <v>0</v>
      </c>
      <c r="N381" s="48">
        <f ca="1">IFERROR(__xludf.DUMMYFUNCTION("IMPORTRANGE(""https://docs.google.com/spreadsheets/d/1-uDff_7J0KD5mKrp0Vvzr7lt3OU09vwQwhkpOPPYv2Y/edit?usp=sharing"",""งบพรบ!FT9"")"),0)</f>
        <v>0</v>
      </c>
      <c r="O381" s="48">
        <f t="shared" ca="1" si="162"/>
        <v>0</v>
      </c>
      <c r="P381" s="404">
        <f t="shared" ca="1" si="163"/>
        <v>0</v>
      </c>
    </row>
    <row r="382" spans="1:16" ht="18.75">
      <c r="A382" s="438"/>
      <c r="B382" s="42"/>
      <c r="C382" s="42"/>
      <c r="D382" s="42"/>
      <c r="E382" s="49" t="s">
        <v>33</v>
      </c>
      <c r="F382" s="42"/>
      <c r="G382" s="44"/>
      <c r="H382" s="131" t="s">
        <v>12</v>
      </c>
      <c r="I382" s="132"/>
      <c r="J382" s="132"/>
      <c r="K382" s="133"/>
      <c r="L382" s="48">
        <f ca="1">IFERROR(__xludf.DUMMYFUNCTION("IMPORTRANGE(""https://docs.google.com/spreadsheets/d/1-uDff_7J0KD5mKrp0Vvzr7lt3OU09vwQwhkpOPPYv2Y/edit?usp=sharing"",""งบพรบ!FM8"")"),0)</f>
        <v>0</v>
      </c>
      <c r="M382" s="48">
        <f ca="1">IFERROR(__xludf.DUMMYFUNCTION("IMPORTRANGE(""https://docs.google.com/spreadsheets/d/1-uDff_7J0KD5mKrp0Vvzr7lt3OU09vwQwhkpOPPYv2Y/edit?usp=sharing"",""งบพรบ!FR8"")"),0)</f>
        <v>0</v>
      </c>
      <c r="N382" s="48">
        <f ca="1">IFERROR(__xludf.DUMMYFUNCTION("IMPORTRANGE(""https://docs.google.com/spreadsheets/d/1-uDff_7J0KD5mKrp0Vvzr7lt3OU09vwQwhkpOPPYv2Y/edit?usp=sharing"",""งบพรบ!FT8"")"),0)</f>
        <v>0</v>
      </c>
      <c r="O382" s="48">
        <f t="shared" ca="1" si="162"/>
        <v>0</v>
      </c>
      <c r="P382" s="404">
        <f t="shared" ca="1" si="163"/>
        <v>0</v>
      </c>
    </row>
    <row r="383" spans="1:16" ht="18.75">
      <c r="A383" s="438"/>
      <c r="B383" s="42"/>
      <c r="C383" s="42"/>
      <c r="D383" s="43" t="s">
        <v>19</v>
      </c>
      <c r="E383" s="42"/>
      <c r="F383" s="42"/>
      <c r="G383" s="44"/>
      <c r="H383" s="134" t="s">
        <v>12</v>
      </c>
      <c r="I383" s="132"/>
      <c r="J383" s="132"/>
      <c r="K383" s="133"/>
      <c r="L383" s="48">
        <f t="shared" ref="L383:N383" ca="1" si="167">L384+L385</f>
        <v>12445400</v>
      </c>
      <c r="M383" s="48">
        <f t="shared" ca="1" si="167"/>
        <v>0</v>
      </c>
      <c r="N383" s="48">
        <f t="shared" ca="1" si="167"/>
        <v>0</v>
      </c>
      <c r="O383" s="48">
        <f t="shared" ca="1" si="162"/>
        <v>0</v>
      </c>
      <c r="P383" s="404">
        <f t="shared" ca="1" si="163"/>
        <v>0</v>
      </c>
    </row>
    <row r="384" spans="1:16" ht="18.75">
      <c r="A384" s="438"/>
      <c r="B384" s="42"/>
      <c r="C384" s="42"/>
      <c r="D384" s="42"/>
      <c r="E384" s="49" t="s">
        <v>16</v>
      </c>
      <c r="F384" s="42"/>
      <c r="G384" s="44"/>
      <c r="H384" s="131" t="s">
        <v>12</v>
      </c>
      <c r="I384" s="132"/>
      <c r="J384" s="132"/>
      <c r="K384" s="133"/>
      <c r="L384" s="48">
        <f ca="1">IFERROR(__xludf.DUMMYFUNCTION("IMPORTRANGE(""https://docs.google.com/spreadsheets/d/1-uDff_7J0KD5mKrp0Vvzr7lt3OU09vwQwhkpOPPYv2Y/edit?usp=sharing"",""งบพรบ!FP9"")"),0)</f>
        <v>0</v>
      </c>
      <c r="M384" s="48">
        <f ca="1">IFERROR(__xludf.DUMMYFUNCTION("IMPORTRANGE(""https://docs.google.com/spreadsheets/d/1-uDff_7J0KD5mKrp0Vvzr7lt3OU09vwQwhkpOPPYv2Y/edit?usp=sharing"",""งบพรบ!FS9"")"),0)</f>
        <v>0</v>
      </c>
      <c r="N384" s="48">
        <f ca="1">IFERROR(__xludf.DUMMYFUNCTION("IMPORTRANGE(""https://docs.google.com/spreadsheets/d/1-uDff_7J0KD5mKrp0Vvzr7lt3OU09vwQwhkpOPPYv2Y/edit?usp=sharing"",""งบพรบ!FU9"")"),0)</f>
        <v>0</v>
      </c>
      <c r="O384" s="48">
        <f t="shared" ca="1" si="162"/>
        <v>0</v>
      </c>
      <c r="P384" s="404">
        <f t="shared" ca="1" si="163"/>
        <v>0</v>
      </c>
    </row>
    <row r="385" spans="1:16" ht="18.75">
      <c r="A385" s="438"/>
      <c r="B385" s="42"/>
      <c r="C385" s="42"/>
      <c r="D385" s="42"/>
      <c r="E385" s="49" t="s">
        <v>17</v>
      </c>
      <c r="F385" s="42"/>
      <c r="G385" s="44"/>
      <c r="H385" s="134" t="s">
        <v>12</v>
      </c>
      <c r="I385" s="132"/>
      <c r="J385" s="132"/>
      <c r="K385" s="133"/>
      <c r="L385" s="48">
        <f ca="1">IFERROR(__xludf.DUMMYFUNCTION("IMPORTRANGE(""https://docs.google.com/spreadsheets/d/1-uDff_7J0KD5mKrp0Vvzr7lt3OU09vwQwhkpOPPYv2Y/edit?usp=sharing"",""งบพรบ!FP8"")"),12445400)</f>
        <v>12445400</v>
      </c>
      <c r="M385" s="48">
        <f ca="1">IFERROR(__xludf.DUMMYFUNCTION("IMPORTRANGE(""https://docs.google.com/spreadsheets/d/1-uDff_7J0KD5mKrp0Vvzr7lt3OU09vwQwhkpOPPYv2Y/edit?usp=sharing"",""งบพรบ!FS8"")"),0)</f>
        <v>0</v>
      </c>
      <c r="N385" s="48">
        <f ca="1">IFERROR(__xludf.DUMMYFUNCTION("IMPORTRANGE(""https://docs.google.com/spreadsheets/d/1-uDff_7J0KD5mKrp0Vvzr7lt3OU09vwQwhkpOPPYv2Y/edit?usp=sharing"",""งบพรบ!FU8"")"),0)</f>
        <v>0</v>
      </c>
      <c r="O385" s="48">
        <f t="shared" ca="1" si="162"/>
        <v>0</v>
      </c>
      <c r="P385" s="404">
        <f t="shared" ca="1" si="163"/>
        <v>0</v>
      </c>
    </row>
    <row r="386" spans="1:16" ht="19.5">
      <c r="A386" s="440"/>
      <c r="B386" s="135"/>
      <c r="C386" s="126" t="s">
        <v>14</v>
      </c>
      <c r="D386" s="136" t="s">
        <v>34</v>
      </c>
      <c r="E386" s="137"/>
      <c r="F386" s="137"/>
      <c r="G386" s="138"/>
      <c r="H386" s="139"/>
      <c r="I386" s="132"/>
      <c r="J386" s="46"/>
      <c r="K386" s="47"/>
      <c r="L386" s="47"/>
      <c r="M386" s="47"/>
      <c r="N386" s="47"/>
      <c r="O386" s="133"/>
      <c r="P386" s="441"/>
    </row>
    <row r="387" spans="1:16" ht="18.75">
      <c r="A387" s="463"/>
      <c r="B387" s="42"/>
      <c r="C387" s="219"/>
      <c r="D387" s="145" t="s">
        <v>142</v>
      </c>
      <c r="E387" s="135"/>
      <c r="F387" s="42"/>
      <c r="G387" s="44"/>
      <c r="H387" s="218" t="s">
        <v>9</v>
      </c>
      <c r="I387" s="158">
        <v>0</v>
      </c>
      <c r="J387" s="158">
        <v>0</v>
      </c>
      <c r="K387" s="48">
        <f t="shared" ref="K387:K388" si="168">IF(I387&gt;0,J387*100/I387,0)</f>
        <v>0</v>
      </c>
      <c r="L387" s="47"/>
      <c r="M387" s="47"/>
      <c r="N387" s="47"/>
      <c r="O387" s="47"/>
      <c r="P387" s="448"/>
    </row>
    <row r="388" spans="1:16" ht="18.75">
      <c r="A388" s="507"/>
      <c r="B388" s="508"/>
      <c r="C388" s="509"/>
      <c r="D388" s="510" t="s">
        <v>143</v>
      </c>
      <c r="E388" s="511"/>
      <c r="F388" s="508"/>
      <c r="G388" s="512"/>
      <c r="H388" s="513" t="s">
        <v>52</v>
      </c>
      <c r="I388" s="514">
        <v>0</v>
      </c>
      <c r="J388" s="514">
        <v>0</v>
      </c>
      <c r="K388" s="515">
        <f t="shared" si="168"/>
        <v>0</v>
      </c>
      <c r="L388" s="516"/>
      <c r="M388" s="516"/>
      <c r="N388" s="516"/>
      <c r="O388" s="516"/>
      <c r="P388" s="517"/>
    </row>
    <row r="389" spans="1:16" ht="12.75">
      <c r="A389" s="378"/>
      <c r="B389" s="378"/>
      <c r="C389" s="378"/>
      <c r="D389" s="378"/>
      <c r="E389" s="378"/>
      <c r="F389" s="378"/>
      <c r="G389" s="378"/>
      <c r="H389" s="378"/>
      <c r="I389" s="378"/>
      <c r="J389" s="378"/>
      <c r="K389" s="378"/>
      <c r="L389" s="378"/>
      <c r="M389" s="378"/>
      <c r="N389" s="378"/>
      <c r="O389" s="378"/>
      <c r="P389" s="378"/>
    </row>
    <row r="390" spans="1:16" ht="16.5">
      <c r="A390" s="379" t="s">
        <v>144</v>
      </c>
      <c r="B390" s="378"/>
      <c r="C390" s="378"/>
      <c r="D390" s="378"/>
      <c r="E390" s="378"/>
      <c r="F390" s="378"/>
      <c r="G390" s="378"/>
      <c r="H390" s="378"/>
      <c r="I390" s="378"/>
      <c r="J390" s="378"/>
      <c r="K390" s="378"/>
      <c r="L390" s="378"/>
      <c r="M390" s="378"/>
      <c r="N390" s="378"/>
      <c r="O390" s="378"/>
      <c r="P390" s="378"/>
    </row>
    <row r="391" spans="1:16" ht="16.5">
      <c r="A391" s="380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378"/>
      <c r="C391" s="378"/>
      <c r="D391" s="378"/>
      <c r="E391" s="378"/>
      <c r="F391" s="378"/>
      <c r="G391" s="378"/>
      <c r="H391" s="378"/>
      <c r="I391" s="378"/>
      <c r="J391" s="378"/>
      <c r="K391" s="378"/>
      <c r="L391" s="378"/>
      <c r="M391" s="378"/>
      <c r="N391" s="378"/>
      <c r="O391" s="378"/>
      <c r="P391" s="378"/>
    </row>
    <row r="392" spans="1:16" ht="12.75">
      <c r="A392" s="378"/>
      <c r="B392" s="378"/>
      <c r="C392" s="378"/>
      <c r="D392" s="378"/>
      <c r="E392" s="378"/>
      <c r="F392" s="378"/>
      <c r="G392" s="378"/>
      <c r="H392" s="378"/>
      <c r="I392" s="378"/>
      <c r="J392" s="378"/>
      <c r="K392" s="378"/>
      <c r="L392" s="378"/>
      <c r="M392" s="378"/>
      <c r="N392" s="378"/>
      <c r="O392" s="378"/>
      <c r="P392" s="378"/>
    </row>
    <row r="393" spans="1:16" ht="12.75">
      <c r="A393" s="378"/>
      <c r="B393" s="378"/>
      <c r="C393" s="378"/>
      <c r="D393" s="378"/>
      <c r="E393" s="378"/>
      <c r="F393" s="378"/>
      <c r="G393" s="378"/>
      <c r="H393" s="378"/>
      <c r="I393" s="378"/>
      <c r="J393" s="378"/>
      <c r="K393" s="378"/>
      <c r="L393" s="378"/>
      <c r="M393" s="378"/>
      <c r="N393" s="378"/>
      <c r="O393" s="378"/>
      <c r="P393" s="378"/>
    </row>
    <row r="394" spans="1:16" ht="12.75">
      <c r="A394" s="378"/>
      <c r="B394" s="378"/>
      <c r="C394" s="378"/>
      <c r="D394" s="378"/>
      <c r="E394" s="378"/>
      <c r="F394" s="378"/>
      <c r="G394" s="378"/>
      <c r="H394" s="378"/>
      <c r="I394" s="378"/>
      <c r="J394" s="378"/>
      <c r="K394" s="378"/>
      <c r="L394" s="378"/>
      <c r="M394" s="378"/>
      <c r="N394" s="378"/>
      <c r="O394" s="378"/>
      <c r="P394" s="378"/>
    </row>
    <row r="395" spans="1:16" ht="12.75">
      <c r="A395" s="378"/>
      <c r="B395" s="378"/>
      <c r="C395" s="378"/>
      <c r="D395" s="378"/>
      <c r="E395" s="378"/>
      <c r="F395" s="378"/>
      <c r="G395" s="378"/>
      <c r="H395" s="378"/>
      <c r="I395" s="378"/>
      <c r="J395" s="378"/>
      <c r="K395" s="378"/>
      <c r="L395" s="378"/>
      <c r="M395" s="378"/>
      <c r="N395" s="378"/>
      <c r="O395" s="378"/>
      <c r="P395" s="378"/>
    </row>
    <row r="396" spans="1:16" ht="12.75">
      <c r="A396" s="378"/>
      <c r="B396" s="378"/>
      <c r="C396" s="378"/>
      <c r="D396" s="378"/>
      <c r="E396" s="378"/>
      <c r="F396" s="378"/>
      <c r="G396" s="378"/>
      <c r="H396" s="378"/>
      <c r="I396" s="378"/>
      <c r="J396" s="378"/>
      <c r="K396" s="378"/>
      <c r="L396" s="378"/>
      <c r="M396" s="378"/>
      <c r="N396" s="378"/>
      <c r="O396" s="378"/>
      <c r="P396" s="378"/>
    </row>
    <row r="397" spans="1:16" ht="12.75">
      <c r="A397" s="378"/>
      <c r="B397" s="378"/>
      <c r="C397" s="378"/>
      <c r="D397" s="378"/>
      <c r="E397" s="378"/>
      <c r="F397" s="378"/>
      <c r="G397" s="378"/>
      <c r="H397" s="378"/>
      <c r="I397" s="378"/>
      <c r="J397" s="378"/>
      <c r="K397" s="378"/>
      <c r="L397" s="378"/>
      <c r="M397" s="378"/>
      <c r="N397" s="378"/>
      <c r="O397" s="378"/>
      <c r="P397" s="378"/>
    </row>
    <row r="398" spans="1:16" ht="12.75">
      <c r="A398" s="378"/>
      <c r="B398" s="378"/>
      <c r="C398" s="378"/>
      <c r="D398" s="378"/>
      <c r="E398" s="378"/>
      <c r="F398" s="378"/>
      <c r="G398" s="378"/>
      <c r="H398" s="378"/>
      <c r="I398" s="378"/>
      <c r="J398" s="378"/>
      <c r="K398" s="378"/>
      <c r="L398" s="378"/>
      <c r="M398" s="378"/>
      <c r="N398" s="378"/>
      <c r="O398" s="378"/>
      <c r="P398" s="378"/>
    </row>
    <row r="399" spans="1:16" ht="12.75">
      <c r="A399" s="378"/>
      <c r="B399" s="378"/>
      <c r="C399" s="378"/>
      <c r="D399" s="378"/>
      <c r="E399" s="378"/>
      <c r="F399" s="378"/>
      <c r="G399" s="378"/>
      <c r="H399" s="378"/>
      <c r="I399" s="378"/>
      <c r="J399" s="378"/>
      <c r="K399" s="378"/>
      <c r="L399" s="378"/>
      <c r="M399" s="378"/>
      <c r="N399" s="378"/>
      <c r="O399" s="378"/>
      <c r="P399" s="378"/>
    </row>
    <row r="400" spans="1:16" ht="12.75">
      <c r="A400" s="378"/>
      <c r="B400" s="378"/>
      <c r="C400" s="378"/>
      <c r="D400" s="378"/>
      <c r="E400" s="378"/>
      <c r="F400" s="378"/>
      <c r="G400" s="378"/>
      <c r="H400" s="378"/>
      <c r="I400" s="378"/>
      <c r="J400" s="378"/>
      <c r="K400" s="378"/>
      <c r="L400" s="378"/>
      <c r="M400" s="378"/>
      <c r="N400" s="378"/>
      <c r="O400" s="378"/>
      <c r="P400" s="378"/>
    </row>
    <row r="401" spans="1:16" ht="12.75">
      <c r="A401" s="378"/>
      <c r="B401" s="378"/>
      <c r="C401" s="378"/>
      <c r="D401" s="378"/>
      <c r="E401" s="378"/>
      <c r="F401" s="378"/>
      <c r="G401" s="378"/>
      <c r="H401" s="378"/>
      <c r="I401" s="378"/>
      <c r="J401" s="378"/>
      <c r="K401" s="378"/>
      <c r="L401" s="378"/>
      <c r="M401" s="378"/>
      <c r="N401" s="378"/>
      <c r="O401" s="378"/>
      <c r="P401" s="378"/>
    </row>
    <row r="402" spans="1:16" ht="12.75">
      <c r="A402" s="378"/>
      <c r="B402" s="378"/>
      <c r="C402" s="378"/>
      <c r="D402" s="378"/>
      <c r="E402" s="378"/>
      <c r="F402" s="378"/>
      <c r="G402" s="378"/>
      <c r="H402" s="378"/>
      <c r="I402" s="378"/>
      <c r="J402" s="378"/>
      <c r="K402" s="378"/>
      <c r="L402" s="378"/>
      <c r="M402" s="378"/>
      <c r="N402" s="378"/>
      <c r="O402" s="378"/>
      <c r="P402" s="378"/>
    </row>
    <row r="403" spans="1:16" ht="12.75">
      <c r="A403" s="378"/>
      <c r="B403" s="378"/>
      <c r="C403" s="378"/>
      <c r="D403" s="378"/>
      <c r="E403" s="378"/>
      <c r="F403" s="378"/>
      <c r="G403" s="378"/>
      <c r="H403" s="378"/>
      <c r="I403" s="378"/>
      <c r="J403" s="378"/>
      <c r="K403" s="378"/>
      <c r="L403" s="378"/>
      <c r="M403" s="378"/>
      <c r="N403" s="378"/>
      <c r="O403" s="378"/>
      <c r="P403" s="378"/>
    </row>
    <row r="404" spans="1:16" ht="12.75">
      <c r="A404" s="378"/>
      <c r="B404" s="378"/>
      <c r="C404" s="378"/>
      <c r="D404" s="378"/>
      <c r="E404" s="378"/>
      <c r="F404" s="378"/>
      <c r="G404" s="378"/>
      <c r="H404" s="378"/>
      <c r="I404" s="378"/>
      <c r="J404" s="378"/>
      <c r="K404" s="378"/>
      <c r="L404" s="378"/>
      <c r="M404" s="378"/>
      <c r="N404" s="378"/>
      <c r="O404" s="378"/>
      <c r="P404" s="378"/>
    </row>
    <row r="405" spans="1:16" ht="12.75">
      <c r="A405" s="378"/>
      <c r="B405" s="378"/>
      <c r="C405" s="378"/>
      <c r="D405" s="378"/>
      <c r="E405" s="378"/>
      <c r="F405" s="378"/>
      <c r="G405" s="378"/>
      <c r="H405" s="378"/>
      <c r="I405" s="378"/>
      <c r="J405" s="378"/>
      <c r="K405" s="378"/>
      <c r="L405" s="378"/>
      <c r="M405" s="378"/>
      <c r="N405" s="378"/>
      <c r="O405" s="378"/>
      <c r="P405" s="378"/>
    </row>
    <row r="406" spans="1:16" ht="12.75">
      <c r="A406" s="378"/>
      <c r="B406" s="378"/>
      <c r="C406" s="378"/>
      <c r="D406" s="378"/>
      <c r="E406" s="378"/>
      <c r="F406" s="378"/>
      <c r="G406" s="378"/>
      <c r="H406" s="378"/>
      <c r="I406" s="378"/>
      <c r="J406" s="378"/>
      <c r="K406" s="378"/>
      <c r="L406" s="378"/>
      <c r="M406" s="378"/>
      <c r="N406" s="378"/>
      <c r="O406" s="378"/>
      <c r="P406" s="378"/>
    </row>
    <row r="407" spans="1:16" ht="12.75">
      <c r="A407" s="378"/>
      <c r="B407" s="378"/>
      <c r="C407" s="378"/>
      <c r="D407" s="378"/>
      <c r="E407" s="378"/>
      <c r="F407" s="378"/>
      <c r="G407" s="378"/>
      <c r="H407" s="378"/>
      <c r="I407" s="378"/>
      <c r="J407" s="378"/>
      <c r="K407" s="378"/>
      <c r="L407" s="378"/>
      <c r="M407" s="378"/>
      <c r="N407" s="378"/>
      <c r="O407" s="378"/>
      <c r="P407" s="378"/>
    </row>
    <row r="408" spans="1:16" ht="12.75">
      <c r="A408" s="378"/>
      <c r="B408" s="378"/>
      <c r="C408" s="378"/>
      <c r="D408" s="378"/>
      <c r="E408" s="378"/>
      <c r="F408" s="378"/>
      <c r="G408" s="378"/>
      <c r="H408" s="378"/>
      <c r="I408" s="378"/>
      <c r="J408" s="378"/>
      <c r="K408" s="378"/>
      <c r="L408" s="378"/>
      <c r="M408" s="378"/>
      <c r="N408" s="378"/>
      <c r="O408" s="378"/>
      <c r="P408" s="378"/>
    </row>
    <row r="409" spans="1:16" ht="12.75">
      <c r="A409" s="378"/>
      <c r="B409" s="378"/>
      <c r="C409" s="378"/>
      <c r="D409" s="378"/>
      <c r="E409" s="378"/>
      <c r="F409" s="378"/>
      <c r="G409" s="378"/>
      <c r="H409" s="378"/>
      <c r="I409" s="378"/>
      <c r="J409" s="378"/>
      <c r="K409" s="378"/>
      <c r="L409" s="378"/>
      <c r="M409" s="378"/>
      <c r="N409" s="378"/>
      <c r="O409" s="378"/>
      <c r="P409" s="378"/>
    </row>
    <row r="410" spans="1:16" ht="12.75">
      <c r="A410" s="378"/>
      <c r="B410" s="378"/>
      <c r="C410" s="378"/>
      <c r="D410" s="378"/>
      <c r="E410" s="378"/>
      <c r="F410" s="378"/>
      <c r="G410" s="378"/>
      <c r="H410" s="378"/>
      <c r="I410" s="378"/>
      <c r="J410" s="378"/>
      <c r="K410" s="378"/>
      <c r="L410" s="378"/>
      <c r="M410" s="378"/>
      <c r="N410" s="378"/>
      <c r="O410" s="378"/>
      <c r="P410" s="378"/>
    </row>
    <row r="411" spans="1:16" ht="12.75">
      <c r="A411" s="378"/>
      <c r="B411" s="378"/>
      <c r="C411" s="378"/>
      <c r="D411" s="378"/>
      <c r="E411" s="378"/>
      <c r="F411" s="378"/>
      <c r="G411" s="378"/>
      <c r="H411" s="378"/>
      <c r="I411" s="378"/>
      <c r="J411" s="378"/>
      <c r="K411" s="378"/>
      <c r="L411" s="378"/>
      <c r="M411" s="378"/>
      <c r="N411" s="378"/>
      <c r="O411" s="378"/>
      <c r="P411" s="378"/>
    </row>
    <row r="412" spans="1:16" ht="12.75">
      <c r="A412" s="378"/>
      <c r="B412" s="378"/>
      <c r="C412" s="378"/>
      <c r="D412" s="378"/>
      <c r="E412" s="378"/>
      <c r="F412" s="378"/>
      <c r="G412" s="378"/>
      <c r="H412" s="378"/>
      <c r="I412" s="378"/>
      <c r="J412" s="378"/>
      <c r="K412" s="378"/>
      <c r="L412" s="378"/>
      <c r="M412" s="378"/>
      <c r="N412" s="378"/>
      <c r="O412" s="378"/>
      <c r="P412" s="378"/>
    </row>
    <row r="413" spans="1:16" ht="12.75">
      <c r="A413" s="378"/>
      <c r="B413" s="378"/>
      <c r="C413" s="378"/>
      <c r="D413" s="378"/>
      <c r="E413" s="378"/>
      <c r="F413" s="378"/>
      <c r="G413" s="378"/>
      <c r="H413" s="378"/>
      <c r="I413" s="378"/>
      <c r="J413" s="378"/>
      <c r="K413" s="378"/>
      <c r="L413" s="378"/>
      <c r="M413" s="378"/>
      <c r="N413" s="378"/>
      <c r="O413" s="378"/>
      <c r="P413" s="378"/>
    </row>
    <row r="414" spans="1:16" ht="12.75">
      <c r="A414" s="378"/>
      <c r="B414" s="378"/>
      <c r="C414" s="378"/>
      <c r="D414" s="378"/>
      <c r="E414" s="378"/>
      <c r="F414" s="378"/>
      <c r="G414" s="378"/>
      <c r="H414" s="378"/>
      <c r="I414" s="378"/>
      <c r="J414" s="378"/>
      <c r="K414" s="378"/>
      <c r="L414" s="378"/>
      <c r="M414" s="378"/>
      <c r="N414" s="378"/>
      <c r="O414" s="378"/>
      <c r="P414" s="378"/>
    </row>
    <row r="415" spans="1:16" ht="12.75">
      <c r="A415" s="378"/>
      <c r="B415" s="378"/>
      <c r="C415" s="378"/>
      <c r="D415" s="378"/>
      <c r="E415" s="378"/>
      <c r="F415" s="378"/>
      <c r="G415" s="378"/>
      <c r="H415" s="378"/>
      <c r="I415" s="378"/>
      <c r="J415" s="378"/>
      <c r="K415" s="378"/>
      <c r="L415" s="378"/>
      <c r="M415" s="378"/>
      <c r="N415" s="378"/>
      <c r="O415" s="378"/>
      <c r="P415" s="378"/>
    </row>
    <row r="416" spans="1:16" ht="12.75">
      <c r="A416" s="378"/>
      <c r="B416" s="378"/>
      <c r="C416" s="378"/>
      <c r="D416" s="378"/>
      <c r="E416" s="378"/>
      <c r="F416" s="378"/>
      <c r="G416" s="378"/>
      <c r="H416" s="378"/>
      <c r="I416" s="378"/>
      <c r="J416" s="378"/>
      <c r="K416" s="378"/>
      <c r="L416" s="378"/>
      <c r="M416" s="378"/>
      <c r="N416" s="378"/>
      <c r="O416" s="378"/>
      <c r="P416" s="378"/>
    </row>
    <row r="417" spans="1:16" ht="12.75">
      <c r="A417" s="378"/>
      <c r="B417" s="378"/>
      <c r="C417" s="378"/>
      <c r="D417" s="378"/>
      <c r="E417" s="378"/>
      <c r="F417" s="378"/>
      <c r="G417" s="378"/>
      <c r="H417" s="378"/>
      <c r="I417" s="378"/>
      <c r="J417" s="378"/>
      <c r="K417" s="378"/>
      <c r="L417" s="378"/>
      <c r="M417" s="378"/>
      <c r="N417" s="378"/>
      <c r="O417" s="378"/>
      <c r="P417" s="378"/>
    </row>
    <row r="418" spans="1:16" ht="12.75">
      <c r="A418" s="378"/>
      <c r="B418" s="378"/>
      <c r="C418" s="378"/>
      <c r="D418" s="378"/>
      <c r="E418" s="378"/>
      <c r="F418" s="378"/>
      <c r="G418" s="378"/>
      <c r="H418" s="378"/>
      <c r="I418" s="378"/>
      <c r="J418" s="378"/>
      <c r="K418" s="378"/>
      <c r="L418" s="378"/>
      <c r="M418" s="378"/>
      <c r="N418" s="378"/>
      <c r="O418" s="378"/>
      <c r="P418" s="378"/>
    </row>
    <row r="419" spans="1:16" ht="12.75">
      <c r="A419" s="378"/>
      <c r="B419" s="378"/>
      <c r="C419" s="378"/>
      <c r="D419" s="378"/>
      <c r="E419" s="378"/>
      <c r="F419" s="378"/>
      <c r="G419" s="378"/>
      <c r="H419" s="378"/>
      <c r="I419" s="378"/>
      <c r="J419" s="378"/>
      <c r="K419" s="378"/>
      <c r="L419" s="378"/>
      <c r="M419" s="378"/>
      <c r="N419" s="378"/>
      <c r="O419" s="378"/>
      <c r="P419" s="378"/>
    </row>
    <row r="420" spans="1:16" ht="12.75">
      <c r="A420" s="378"/>
      <c r="B420" s="378"/>
      <c r="C420" s="378"/>
      <c r="D420" s="378"/>
      <c r="E420" s="378"/>
      <c r="F420" s="378"/>
      <c r="G420" s="378"/>
      <c r="H420" s="378"/>
      <c r="I420" s="378"/>
      <c r="J420" s="378"/>
      <c r="K420" s="378"/>
      <c r="L420" s="378"/>
      <c r="M420" s="378"/>
      <c r="N420" s="378"/>
      <c r="O420" s="378"/>
      <c r="P420" s="378"/>
    </row>
    <row r="421" spans="1:16" ht="12.75">
      <c r="A421" s="378"/>
      <c r="B421" s="378"/>
      <c r="C421" s="378"/>
      <c r="D421" s="378"/>
      <c r="E421" s="378"/>
      <c r="F421" s="378"/>
      <c r="G421" s="378"/>
      <c r="H421" s="378"/>
      <c r="I421" s="378"/>
      <c r="J421" s="378"/>
      <c r="K421" s="378"/>
      <c r="L421" s="378"/>
      <c r="M421" s="378"/>
      <c r="N421" s="378"/>
      <c r="O421" s="378"/>
      <c r="P421" s="378"/>
    </row>
    <row r="422" spans="1:16" ht="12.75">
      <c r="A422" s="378"/>
      <c r="B422" s="378"/>
      <c r="C422" s="378"/>
      <c r="D422" s="378"/>
      <c r="E422" s="378"/>
      <c r="F422" s="378"/>
      <c r="G422" s="378"/>
      <c r="H422" s="378"/>
      <c r="I422" s="378"/>
      <c r="J422" s="378"/>
      <c r="K422" s="378"/>
      <c r="L422" s="378"/>
      <c r="M422" s="378"/>
      <c r="N422" s="378"/>
      <c r="O422" s="378"/>
      <c r="P422" s="378"/>
    </row>
    <row r="423" spans="1:16" ht="12.75">
      <c r="A423" s="378"/>
      <c r="B423" s="378"/>
      <c r="C423" s="378"/>
      <c r="D423" s="378"/>
      <c r="E423" s="378"/>
      <c r="F423" s="378"/>
      <c r="G423" s="378"/>
      <c r="H423" s="378"/>
      <c r="I423" s="378"/>
      <c r="J423" s="378"/>
      <c r="K423" s="378"/>
      <c r="L423" s="378"/>
      <c r="M423" s="378"/>
      <c r="N423" s="378"/>
      <c r="O423" s="378"/>
      <c r="P423" s="378"/>
    </row>
    <row r="424" spans="1:16" ht="12.75">
      <c r="A424" s="378"/>
      <c r="B424" s="378"/>
      <c r="C424" s="378"/>
      <c r="D424" s="378"/>
      <c r="E424" s="378"/>
      <c r="F424" s="378"/>
      <c r="G424" s="378"/>
      <c r="H424" s="378"/>
      <c r="I424" s="378"/>
      <c r="J424" s="378"/>
      <c r="K424" s="378"/>
      <c r="L424" s="378"/>
      <c r="M424" s="378"/>
      <c r="N424" s="378"/>
      <c r="O424" s="378"/>
      <c r="P424" s="378"/>
    </row>
    <row r="425" spans="1:16" ht="12.75">
      <c r="A425" s="378"/>
      <c r="B425" s="378"/>
      <c r="C425" s="378"/>
      <c r="D425" s="378"/>
      <c r="E425" s="378"/>
      <c r="F425" s="378"/>
      <c r="G425" s="378"/>
      <c r="H425" s="378"/>
      <c r="I425" s="378"/>
      <c r="J425" s="378"/>
      <c r="K425" s="378"/>
      <c r="L425" s="378"/>
      <c r="M425" s="378"/>
      <c r="N425" s="378"/>
      <c r="O425" s="378"/>
      <c r="P425" s="378"/>
    </row>
    <row r="426" spans="1:16" ht="12.75">
      <c r="A426" s="378"/>
      <c r="B426" s="378"/>
      <c r="C426" s="378"/>
      <c r="D426" s="378"/>
      <c r="E426" s="378"/>
      <c r="F426" s="378"/>
      <c r="G426" s="378"/>
      <c r="H426" s="378"/>
      <c r="I426" s="378"/>
      <c r="J426" s="378"/>
      <c r="K426" s="378"/>
      <c r="L426" s="378"/>
      <c r="M426" s="378"/>
      <c r="N426" s="378"/>
      <c r="O426" s="378"/>
      <c r="P426" s="378"/>
    </row>
    <row r="427" spans="1:16" ht="12.75">
      <c r="A427" s="378"/>
      <c r="B427" s="378"/>
      <c r="C427" s="378"/>
      <c r="D427" s="378"/>
      <c r="E427" s="378"/>
      <c r="F427" s="378"/>
      <c r="G427" s="378"/>
      <c r="H427" s="378"/>
      <c r="I427" s="378"/>
      <c r="J427" s="378"/>
      <c r="K427" s="378"/>
      <c r="L427" s="378"/>
      <c r="M427" s="378"/>
      <c r="N427" s="378"/>
      <c r="O427" s="378"/>
      <c r="P427" s="378"/>
    </row>
    <row r="428" spans="1:16" ht="12.75">
      <c r="A428" s="378"/>
      <c r="B428" s="378"/>
      <c r="C428" s="378"/>
      <c r="D428" s="378"/>
      <c r="E428" s="378"/>
      <c r="F428" s="378"/>
      <c r="G428" s="378"/>
      <c r="H428" s="378"/>
      <c r="I428" s="378"/>
      <c r="J428" s="378"/>
      <c r="K428" s="378"/>
      <c r="L428" s="378"/>
      <c r="M428" s="378"/>
      <c r="N428" s="378"/>
      <c r="O428" s="378"/>
      <c r="P428" s="378"/>
    </row>
    <row r="429" spans="1:16" ht="12.75">
      <c r="A429" s="378"/>
      <c r="B429" s="378"/>
      <c r="C429" s="378"/>
      <c r="D429" s="378"/>
      <c r="E429" s="378"/>
      <c r="F429" s="378"/>
      <c r="G429" s="378"/>
      <c r="H429" s="378"/>
      <c r="I429" s="378"/>
      <c r="J429" s="378"/>
      <c r="K429" s="378"/>
      <c r="L429" s="378"/>
      <c r="M429" s="378"/>
      <c r="N429" s="378"/>
      <c r="O429" s="378"/>
      <c r="P429" s="378"/>
    </row>
    <row r="430" spans="1:16" ht="12.75">
      <c r="A430" s="378"/>
      <c r="B430" s="378"/>
      <c r="C430" s="378"/>
      <c r="D430" s="378"/>
      <c r="E430" s="378"/>
      <c r="F430" s="378"/>
      <c r="G430" s="378"/>
      <c r="H430" s="378"/>
      <c r="I430" s="378"/>
      <c r="J430" s="378"/>
      <c r="K430" s="378"/>
      <c r="L430" s="378"/>
      <c r="M430" s="378"/>
      <c r="N430" s="378"/>
      <c r="O430" s="378"/>
      <c r="P430" s="378"/>
    </row>
    <row r="431" spans="1:16" ht="12.75">
      <c r="A431" s="378"/>
      <c r="B431" s="378"/>
      <c r="C431" s="378"/>
      <c r="D431" s="378"/>
      <c r="E431" s="378"/>
      <c r="F431" s="378"/>
      <c r="G431" s="378"/>
      <c r="H431" s="378"/>
      <c r="I431" s="378"/>
      <c r="J431" s="378"/>
      <c r="K431" s="378"/>
      <c r="L431" s="378"/>
      <c r="M431" s="378"/>
      <c r="N431" s="378"/>
      <c r="O431" s="378"/>
      <c r="P431" s="378"/>
    </row>
    <row r="432" spans="1:16" ht="12.75">
      <c r="A432" s="378"/>
      <c r="B432" s="378"/>
      <c r="C432" s="378"/>
      <c r="D432" s="378"/>
      <c r="E432" s="378"/>
      <c r="F432" s="378"/>
      <c r="G432" s="378"/>
      <c r="H432" s="378"/>
      <c r="I432" s="378"/>
      <c r="J432" s="378"/>
      <c r="K432" s="378"/>
      <c r="L432" s="378"/>
      <c r="M432" s="378"/>
      <c r="N432" s="378"/>
      <c r="O432" s="378"/>
      <c r="P432" s="378"/>
    </row>
    <row r="433" spans="1:16" ht="12.75">
      <c r="A433" s="378"/>
      <c r="B433" s="378"/>
      <c r="C433" s="378"/>
      <c r="D433" s="378"/>
      <c r="E433" s="378"/>
      <c r="F433" s="378"/>
      <c r="G433" s="378"/>
      <c r="H433" s="378"/>
      <c r="I433" s="378"/>
      <c r="J433" s="378"/>
      <c r="K433" s="378"/>
      <c r="L433" s="378"/>
      <c r="M433" s="378"/>
      <c r="N433" s="378"/>
      <c r="O433" s="378"/>
      <c r="P433" s="378"/>
    </row>
    <row r="434" spans="1:16" ht="12.75">
      <c r="A434" s="378"/>
      <c r="B434" s="378"/>
      <c r="C434" s="378"/>
      <c r="D434" s="378"/>
      <c r="E434" s="378"/>
      <c r="F434" s="378"/>
      <c r="G434" s="378"/>
      <c r="H434" s="378"/>
      <c r="I434" s="378"/>
      <c r="J434" s="378"/>
      <c r="K434" s="378"/>
      <c r="L434" s="378"/>
      <c r="M434" s="378"/>
      <c r="N434" s="378"/>
      <c r="O434" s="378"/>
      <c r="P434" s="378"/>
    </row>
    <row r="435" spans="1:16" ht="12.75">
      <c r="A435" s="378"/>
      <c r="B435" s="378"/>
      <c r="C435" s="378"/>
      <c r="D435" s="378"/>
      <c r="E435" s="378"/>
      <c r="F435" s="378"/>
      <c r="G435" s="378"/>
      <c r="H435" s="378"/>
      <c r="I435" s="378"/>
      <c r="J435" s="378"/>
      <c r="K435" s="378"/>
      <c r="L435" s="378"/>
      <c r="M435" s="378"/>
      <c r="N435" s="378"/>
      <c r="O435" s="378"/>
      <c r="P435" s="378"/>
    </row>
    <row r="436" spans="1:16" ht="12.75">
      <c r="A436" s="378"/>
      <c r="B436" s="378"/>
      <c r="C436" s="378"/>
      <c r="D436" s="378"/>
      <c r="E436" s="378"/>
      <c r="F436" s="378"/>
      <c r="G436" s="378"/>
      <c r="H436" s="378"/>
      <c r="I436" s="378"/>
      <c r="J436" s="378"/>
      <c r="K436" s="378"/>
      <c r="L436" s="378"/>
      <c r="M436" s="378"/>
      <c r="N436" s="378"/>
      <c r="O436" s="378"/>
      <c r="P436" s="378"/>
    </row>
    <row r="437" spans="1:16" ht="12.75">
      <c r="A437" s="378"/>
      <c r="B437" s="378"/>
      <c r="C437" s="378"/>
      <c r="D437" s="378"/>
      <c r="E437" s="378"/>
      <c r="F437" s="378"/>
      <c r="G437" s="378"/>
      <c r="H437" s="378"/>
      <c r="I437" s="378"/>
      <c r="J437" s="378"/>
      <c r="K437" s="378"/>
      <c r="L437" s="378"/>
      <c r="M437" s="378"/>
      <c r="N437" s="378"/>
      <c r="O437" s="378"/>
      <c r="P437" s="378"/>
    </row>
    <row r="438" spans="1:16" ht="12.75">
      <c r="A438" s="378"/>
      <c r="B438" s="378"/>
      <c r="C438" s="378"/>
      <c r="D438" s="378"/>
      <c r="E438" s="378"/>
      <c r="F438" s="378"/>
      <c r="G438" s="378"/>
      <c r="H438" s="378"/>
      <c r="I438" s="378"/>
      <c r="J438" s="378"/>
      <c r="K438" s="378"/>
      <c r="L438" s="378"/>
      <c r="M438" s="378"/>
      <c r="N438" s="378"/>
      <c r="O438" s="378"/>
      <c r="P438" s="378"/>
    </row>
    <row r="439" spans="1:16" ht="12.75">
      <c r="A439" s="378"/>
      <c r="B439" s="378"/>
      <c r="C439" s="378"/>
      <c r="D439" s="378"/>
      <c r="E439" s="378"/>
      <c r="F439" s="378"/>
      <c r="G439" s="378"/>
      <c r="H439" s="378"/>
      <c r="I439" s="378"/>
      <c r="J439" s="378"/>
      <c r="K439" s="378"/>
      <c r="L439" s="378"/>
      <c r="M439" s="378"/>
      <c r="N439" s="378"/>
      <c r="O439" s="378"/>
      <c r="P439" s="378"/>
    </row>
    <row r="440" spans="1:16" ht="12.75">
      <c r="A440" s="378"/>
      <c r="B440" s="378"/>
      <c r="C440" s="378"/>
      <c r="D440" s="378"/>
      <c r="E440" s="378"/>
      <c r="F440" s="378"/>
      <c r="G440" s="378"/>
      <c r="H440" s="378"/>
      <c r="I440" s="378"/>
      <c r="J440" s="378"/>
      <c r="K440" s="378"/>
      <c r="L440" s="378"/>
      <c r="M440" s="378"/>
      <c r="N440" s="378"/>
      <c r="O440" s="378"/>
      <c r="P440" s="378"/>
    </row>
    <row r="441" spans="1:16" ht="12.75">
      <c r="A441" s="378"/>
      <c r="B441" s="378"/>
      <c r="C441" s="378"/>
      <c r="D441" s="378"/>
      <c r="E441" s="378"/>
      <c r="F441" s="378"/>
      <c r="G441" s="378"/>
      <c r="H441" s="378"/>
      <c r="I441" s="378"/>
      <c r="J441" s="378"/>
      <c r="K441" s="378"/>
      <c r="L441" s="378"/>
      <c r="M441" s="378"/>
      <c r="N441" s="378"/>
      <c r="O441" s="378"/>
      <c r="P441" s="378"/>
    </row>
    <row r="442" spans="1:16" ht="12.75">
      <c r="A442" s="378"/>
      <c r="B442" s="378"/>
      <c r="C442" s="378"/>
      <c r="D442" s="378"/>
      <c r="E442" s="378"/>
      <c r="F442" s="378"/>
      <c r="G442" s="378"/>
      <c r="H442" s="378"/>
      <c r="I442" s="378"/>
      <c r="J442" s="378"/>
      <c r="K442" s="378"/>
      <c r="L442" s="378"/>
      <c r="M442" s="378"/>
      <c r="N442" s="378"/>
      <c r="O442" s="378"/>
      <c r="P442" s="378"/>
    </row>
    <row r="443" spans="1:16" ht="12.75">
      <c r="A443" s="378"/>
      <c r="B443" s="378"/>
      <c r="C443" s="378"/>
      <c r="D443" s="378"/>
      <c r="E443" s="378"/>
      <c r="F443" s="378"/>
      <c r="G443" s="378"/>
      <c r="H443" s="378"/>
      <c r="I443" s="378"/>
      <c r="J443" s="378"/>
      <c r="K443" s="378"/>
      <c r="L443" s="378"/>
      <c r="M443" s="378"/>
      <c r="N443" s="378"/>
      <c r="O443" s="378"/>
      <c r="P443" s="378"/>
    </row>
    <row r="444" spans="1:16" ht="12.75">
      <c r="A444" s="378"/>
      <c r="B444" s="378"/>
      <c r="C444" s="378"/>
      <c r="D444" s="378"/>
      <c r="E444" s="378"/>
      <c r="F444" s="378"/>
      <c r="G444" s="378"/>
      <c r="H444" s="378"/>
      <c r="I444" s="378"/>
      <c r="J444" s="378"/>
      <c r="K444" s="378"/>
      <c r="L444" s="378"/>
      <c r="M444" s="378"/>
      <c r="N444" s="378"/>
      <c r="O444" s="378"/>
      <c r="P444" s="378"/>
    </row>
    <row r="445" spans="1:16" ht="12.75">
      <c r="A445" s="378"/>
      <c r="B445" s="378"/>
      <c r="C445" s="378"/>
      <c r="D445" s="378"/>
      <c r="E445" s="378"/>
      <c r="F445" s="378"/>
      <c r="G445" s="378"/>
      <c r="H445" s="378"/>
      <c r="I445" s="378"/>
      <c r="J445" s="378"/>
      <c r="K445" s="378"/>
      <c r="L445" s="378"/>
      <c r="M445" s="378"/>
      <c r="N445" s="378"/>
      <c r="O445" s="378"/>
      <c r="P445" s="378"/>
    </row>
    <row r="446" spans="1:16" ht="12.75">
      <c r="A446" s="378"/>
      <c r="B446" s="378"/>
      <c r="C446" s="378"/>
      <c r="D446" s="378"/>
      <c r="E446" s="378"/>
      <c r="F446" s="378"/>
      <c r="G446" s="378"/>
      <c r="H446" s="378"/>
      <c r="I446" s="378"/>
      <c r="J446" s="378"/>
      <c r="K446" s="378"/>
      <c r="L446" s="378"/>
      <c r="M446" s="378"/>
      <c r="N446" s="378"/>
      <c r="O446" s="378"/>
      <c r="P446" s="378"/>
    </row>
    <row r="447" spans="1:16" ht="12.75">
      <c r="A447" s="378"/>
      <c r="B447" s="378"/>
      <c r="C447" s="378"/>
      <c r="D447" s="378"/>
      <c r="E447" s="378"/>
      <c r="F447" s="378"/>
      <c r="G447" s="378"/>
      <c r="H447" s="378"/>
      <c r="I447" s="378"/>
      <c r="J447" s="378"/>
      <c r="K447" s="378"/>
      <c r="L447" s="378"/>
      <c r="M447" s="378"/>
      <c r="N447" s="378"/>
      <c r="O447" s="378"/>
      <c r="P447" s="378"/>
    </row>
    <row r="448" spans="1:16" ht="12.75">
      <c r="A448" s="378"/>
      <c r="B448" s="378"/>
      <c r="C448" s="378"/>
      <c r="D448" s="378"/>
      <c r="E448" s="378"/>
      <c r="F448" s="378"/>
      <c r="G448" s="378"/>
      <c r="H448" s="378"/>
      <c r="I448" s="378"/>
      <c r="J448" s="378"/>
      <c r="K448" s="378"/>
      <c r="L448" s="378"/>
      <c r="M448" s="378"/>
      <c r="N448" s="378"/>
      <c r="O448" s="378"/>
      <c r="P448" s="378"/>
    </row>
    <row r="449" spans="1:16" ht="12.75">
      <c r="A449" s="378"/>
      <c r="B449" s="378"/>
      <c r="C449" s="378"/>
      <c r="D449" s="378"/>
      <c r="E449" s="378"/>
      <c r="F449" s="378"/>
      <c r="G449" s="378"/>
      <c r="H449" s="378"/>
      <c r="I449" s="378"/>
      <c r="J449" s="378"/>
      <c r="K449" s="378"/>
      <c r="L449" s="378"/>
      <c r="M449" s="378"/>
      <c r="N449" s="378"/>
      <c r="O449" s="378"/>
      <c r="P449" s="378"/>
    </row>
    <row r="450" spans="1:16" ht="12.75">
      <c r="A450" s="378"/>
      <c r="B450" s="378"/>
      <c r="C450" s="378"/>
      <c r="D450" s="378"/>
      <c r="E450" s="378"/>
      <c r="F450" s="378"/>
      <c r="G450" s="378"/>
      <c r="H450" s="378"/>
      <c r="I450" s="378"/>
      <c r="J450" s="378"/>
      <c r="K450" s="378"/>
      <c r="L450" s="378"/>
      <c r="M450" s="378"/>
      <c r="N450" s="378"/>
      <c r="O450" s="378"/>
      <c r="P450" s="378"/>
    </row>
    <row r="451" spans="1:16" ht="12.75">
      <c r="A451" s="378"/>
      <c r="B451" s="378"/>
      <c r="C451" s="378"/>
      <c r="D451" s="378"/>
      <c r="E451" s="378"/>
      <c r="F451" s="378"/>
      <c r="G451" s="378"/>
      <c r="H451" s="378"/>
      <c r="I451" s="378"/>
      <c r="J451" s="378"/>
      <c r="K451" s="378"/>
      <c r="L451" s="378"/>
      <c r="M451" s="378"/>
      <c r="N451" s="378"/>
      <c r="O451" s="378"/>
      <c r="P451" s="378"/>
    </row>
    <row r="452" spans="1:16" ht="12.75">
      <c r="A452" s="378"/>
      <c r="B452" s="378"/>
      <c r="C452" s="378"/>
      <c r="D452" s="378"/>
      <c r="E452" s="378"/>
      <c r="F452" s="378"/>
      <c r="G452" s="378"/>
      <c r="H452" s="378"/>
      <c r="I452" s="378"/>
      <c r="J452" s="378"/>
      <c r="K452" s="378"/>
      <c r="L452" s="378"/>
      <c r="M452" s="378"/>
      <c r="N452" s="378"/>
      <c r="O452" s="378"/>
      <c r="P452" s="378"/>
    </row>
    <row r="453" spans="1:16" ht="12.75">
      <c r="A453" s="378"/>
      <c r="B453" s="378"/>
      <c r="C453" s="378"/>
      <c r="D453" s="378"/>
      <c r="E453" s="378"/>
      <c r="F453" s="378"/>
      <c r="G453" s="378"/>
      <c r="H453" s="378"/>
      <c r="I453" s="378"/>
      <c r="J453" s="378"/>
      <c r="K453" s="378"/>
      <c r="L453" s="378"/>
      <c r="M453" s="378"/>
      <c r="N453" s="378"/>
      <c r="O453" s="378"/>
      <c r="P453" s="378"/>
    </row>
    <row r="454" spans="1:16" ht="12.75">
      <c r="A454" s="378"/>
      <c r="B454" s="378"/>
      <c r="C454" s="378"/>
      <c r="D454" s="378"/>
      <c r="E454" s="378"/>
      <c r="F454" s="378"/>
      <c r="G454" s="378"/>
      <c r="H454" s="378"/>
      <c r="I454" s="378"/>
      <c r="J454" s="378"/>
      <c r="K454" s="378"/>
      <c r="L454" s="378"/>
      <c r="M454" s="378"/>
      <c r="N454" s="378"/>
      <c r="O454" s="378"/>
      <c r="P454" s="378"/>
    </row>
    <row r="455" spans="1:16" ht="12.75">
      <c r="A455" s="378"/>
      <c r="B455" s="378"/>
      <c r="C455" s="378"/>
      <c r="D455" s="378"/>
      <c r="E455" s="378"/>
      <c r="F455" s="378"/>
      <c r="G455" s="378"/>
      <c r="H455" s="378"/>
      <c r="I455" s="378"/>
      <c r="J455" s="378"/>
      <c r="K455" s="378"/>
      <c r="L455" s="378"/>
      <c r="M455" s="378"/>
      <c r="N455" s="378"/>
      <c r="O455" s="378"/>
      <c r="P455" s="378"/>
    </row>
    <row r="456" spans="1:16" ht="12.75">
      <c r="A456" s="378"/>
      <c r="B456" s="378"/>
      <c r="C456" s="378"/>
      <c r="D456" s="378"/>
      <c r="E456" s="378"/>
      <c r="F456" s="378"/>
      <c r="G456" s="378"/>
      <c r="H456" s="378"/>
      <c r="I456" s="378"/>
      <c r="J456" s="378"/>
      <c r="K456" s="378"/>
      <c r="L456" s="378"/>
      <c r="M456" s="378"/>
      <c r="N456" s="378"/>
      <c r="O456" s="378"/>
      <c r="P456" s="378"/>
    </row>
    <row r="457" spans="1:16" ht="12.75">
      <c r="A457" s="378"/>
      <c r="B457" s="378"/>
      <c r="C457" s="378"/>
      <c r="D457" s="378"/>
      <c r="E457" s="378"/>
      <c r="F457" s="378"/>
      <c r="G457" s="378"/>
      <c r="H457" s="378"/>
      <c r="I457" s="378"/>
      <c r="J457" s="378"/>
      <c r="K457" s="378"/>
      <c r="L457" s="378"/>
      <c r="M457" s="378"/>
      <c r="N457" s="378"/>
      <c r="O457" s="378"/>
      <c r="P457" s="378"/>
    </row>
    <row r="458" spans="1:16" ht="12.75">
      <c r="A458" s="378"/>
      <c r="B458" s="378"/>
      <c r="C458" s="378"/>
      <c r="D458" s="378"/>
      <c r="E458" s="378"/>
      <c r="F458" s="378"/>
      <c r="G458" s="378"/>
      <c r="H458" s="378"/>
      <c r="I458" s="378"/>
      <c r="J458" s="378"/>
      <c r="K458" s="378"/>
      <c r="L458" s="378"/>
      <c r="M458" s="378"/>
      <c r="N458" s="378"/>
      <c r="O458" s="378"/>
      <c r="P458" s="378"/>
    </row>
    <row r="459" spans="1:16" ht="12.75">
      <c r="A459" s="378"/>
      <c r="B459" s="378"/>
      <c r="C459" s="378"/>
      <c r="D459" s="378"/>
      <c r="E459" s="378"/>
      <c r="F459" s="378"/>
      <c r="G459" s="378"/>
      <c r="H459" s="378"/>
      <c r="I459" s="378"/>
      <c r="J459" s="378"/>
      <c r="K459" s="378"/>
      <c r="L459" s="378"/>
      <c r="M459" s="378"/>
      <c r="N459" s="378"/>
      <c r="O459" s="378"/>
      <c r="P459" s="378"/>
    </row>
    <row r="460" spans="1:16" ht="12.75">
      <c r="A460" s="378"/>
      <c r="B460" s="378"/>
      <c r="C460" s="378"/>
      <c r="D460" s="378"/>
      <c r="E460" s="378"/>
      <c r="F460" s="378"/>
      <c r="G460" s="378"/>
      <c r="H460" s="378"/>
      <c r="I460" s="378"/>
      <c r="J460" s="378"/>
      <c r="K460" s="378"/>
      <c r="L460" s="378"/>
      <c r="M460" s="378"/>
      <c r="N460" s="378"/>
      <c r="O460" s="378"/>
      <c r="P460" s="378"/>
    </row>
    <row r="461" spans="1:16" ht="12.75">
      <c r="A461" s="378"/>
      <c r="B461" s="378"/>
      <c r="C461" s="378"/>
      <c r="D461" s="378"/>
      <c r="E461" s="378"/>
      <c r="F461" s="378"/>
      <c r="G461" s="378"/>
      <c r="H461" s="378"/>
      <c r="I461" s="378"/>
      <c r="J461" s="378"/>
      <c r="K461" s="378"/>
      <c r="L461" s="378"/>
      <c r="M461" s="378"/>
      <c r="N461" s="378"/>
      <c r="O461" s="378"/>
      <c r="P461" s="378"/>
    </row>
    <row r="462" spans="1:16" ht="12.75">
      <c r="A462" s="378"/>
      <c r="B462" s="378"/>
      <c r="C462" s="378"/>
      <c r="D462" s="378"/>
      <c r="E462" s="378"/>
      <c r="F462" s="378"/>
      <c r="G462" s="378"/>
      <c r="H462" s="378"/>
      <c r="I462" s="378"/>
      <c r="J462" s="378"/>
      <c r="K462" s="378"/>
      <c r="L462" s="378"/>
      <c r="M462" s="378"/>
      <c r="N462" s="378"/>
      <c r="O462" s="378"/>
      <c r="P462" s="378"/>
    </row>
    <row r="463" spans="1:16" ht="12.75">
      <c r="A463" s="378"/>
      <c r="B463" s="378"/>
      <c r="C463" s="378"/>
      <c r="D463" s="378"/>
      <c r="E463" s="378"/>
      <c r="F463" s="378"/>
      <c r="G463" s="378"/>
      <c r="H463" s="378"/>
      <c r="I463" s="378"/>
      <c r="J463" s="378"/>
      <c r="K463" s="378"/>
      <c r="L463" s="378"/>
      <c r="M463" s="378"/>
      <c r="N463" s="378"/>
      <c r="O463" s="378"/>
      <c r="P463" s="378"/>
    </row>
    <row r="464" spans="1:16" ht="12.75">
      <c r="A464" s="378"/>
      <c r="B464" s="378"/>
      <c r="C464" s="378"/>
      <c r="D464" s="378"/>
      <c r="E464" s="378"/>
      <c r="F464" s="378"/>
      <c r="G464" s="378"/>
      <c r="H464" s="378"/>
      <c r="I464" s="378"/>
      <c r="J464" s="378"/>
      <c r="K464" s="378"/>
      <c r="L464" s="378"/>
      <c r="M464" s="378"/>
      <c r="N464" s="378"/>
      <c r="O464" s="378"/>
      <c r="P464" s="378"/>
    </row>
    <row r="465" spans="1:16" ht="12.75">
      <c r="A465" s="378"/>
      <c r="B465" s="378"/>
      <c r="C465" s="378"/>
      <c r="D465" s="378"/>
      <c r="E465" s="378"/>
      <c r="F465" s="378"/>
      <c r="G465" s="378"/>
      <c r="H465" s="378"/>
      <c r="I465" s="378"/>
      <c r="J465" s="378"/>
      <c r="K465" s="378"/>
      <c r="L465" s="378"/>
      <c r="M465" s="378"/>
      <c r="N465" s="378"/>
      <c r="O465" s="378"/>
      <c r="P465" s="378"/>
    </row>
    <row r="466" spans="1:16" ht="12.75">
      <c r="A466" s="378"/>
      <c r="B466" s="378"/>
      <c r="C466" s="378"/>
      <c r="D466" s="378"/>
      <c r="E466" s="378"/>
      <c r="F466" s="378"/>
      <c r="G466" s="378"/>
      <c r="H466" s="378"/>
      <c r="I466" s="378"/>
      <c r="J466" s="378"/>
      <c r="K466" s="378"/>
      <c r="L466" s="378"/>
      <c r="M466" s="378"/>
      <c r="N466" s="378"/>
      <c r="O466" s="378"/>
      <c r="P466" s="378"/>
    </row>
    <row r="467" spans="1:16" ht="12.75">
      <c r="A467" s="378"/>
      <c r="B467" s="378"/>
      <c r="C467" s="378"/>
      <c r="D467" s="378"/>
      <c r="E467" s="378"/>
      <c r="F467" s="378"/>
      <c r="G467" s="378"/>
      <c r="H467" s="378"/>
      <c r="I467" s="378"/>
      <c r="J467" s="378"/>
      <c r="K467" s="378"/>
      <c r="L467" s="378"/>
      <c r="M467" s="378"/>
      <c r="N467" s="378"/>
      <c r="O467" s="378"/>
      <c r="P467" s="378"/>
    </row>
    <row r="468" spans="1:16" ht="12.75">
      <c r="A468" s="378"/>
      <c r="B468" s="378"/>
      <c r="C468" s="378"/>
      <c r="D468" s="378"/>
      <c r="E468" s="378"/>
      <c r="F468" s="378"/>
      <c r="G468" s="378"/>
      <c r="H468" s="378"/>
      <c r="I468" s="378"/>
      <c r="J468" s="378"/>
      <c r="K468" s="378"/>
      <c r="L468" s="378"/>
      <c r="M468" s="378"/>
      <c r="N468" s="378"/>
      <c r="O468" s="378"/>
      <c r="P468" s="378"/>
    </row>
    <row r="469" spans="1:16" ht="12.75">
      <c r="A469" s="378"/>
      <c r="B469" s="378"/>
      <c r="C469" s="378"/>
      <c r="D469" s="378"/>
      <c r="E469" s="378"/>
      <c r="F469" s="378"/>
      <c r="G469" s="378"/>
      <c r="H469" s="378"/>
      <c r="I469" s="378"/>
      <c r="J469" s="378"/>
      <c r="K469" s="378"/>
      <c r="L469" s="378"/>
      <c r="M469" s="378"/>
      <c r="N469" s="378"/>
      <c r="O469" s="378"/>
      <c r="P469" s="378"/>
    </row>
    <row r="470" spans="1:16" ht="12.75">
      <c r="A470" s="378"/>
      <c r="B470" s="378"/>
      <c r="C470" s="378"/>
      <c r="D470" s="378"/>
      <c r="E470" s="378"/>
      <c r="F470" s="378"/>
      <c r="G470" s="378"/>
      <c r="H470" s="378"/>
      <c r="I470" s="378"/>
      <c r="J470" s="378"/>
      <c r="K470" s="378"/>
      <c r="L470" s="378"/>
      <c r="M470" s="378"/>
      <c r="N470" s="378"/>
      <c r="O470" s="378"/>
      <c r="P470" s="378"/>
    </row>
    <row r="471" spans="1:16" ht="12.75">
      <c r="A471" s="378"/>
      <c r="B471" s="378"/>
      <c r="C471" s="378"/>
      <c r="D471" s="378"/>
      <c r="E471" s="378"/>
      <c r="F471" s="378"/>
      <c r="G471" s="378"/>
      <c r="H471" s="378"/>
      <c r="I471" s="378"/>
      <c r="J471" s="378"/>
      <c r="K471" s="378"/>
      <c r="L471" s="378"/>
      <c r="M471" s="378"/>
      <c r="N471" s="378"/>
      <c r="O471" s="378"/>
      <c r="P471" s="378"/>
    </row>
    <row r="472" spans="1:16" ht="12.75">
      <c r="A472" s="378"/>
      <c r="B472" s="378"/>
      <c r="C472" s="378"/>
      <c r="D472" s="378"/>
      <c r="E472" s="378"/>
      <c r="F472" s="378"/>
      <c r="G472" s="378"/>
      <c r="H472" s="378"/>
      <c r="I472" s="378"/>
      <c r="J472" s="378"/>
      <c r="K472" s="378"/>
      <c r="L472" s="378"/>
      <c r="M472" s="378"/>
      <c r="N472" s="378"/>
      <c r="O472" s="378"/>
      <c r="P472" s="378"/>
    </row>
    <row r="473" spans="1:16" ht="12.75">
      <c r="A473" s="378"/>
      <c r="B473" s="378"/>
      <c r="C473" s="378"/>
      <c r="D473" s="378"/>
      <c r="E473" s="378"/>
      <c r="F473" s="378"/>
      <c r="G473" s="378"/>
      <c r="H473" s="378"/>
      <c r="I473" s="378"/>
      <c r="J473" s="378"/>
      <c r="K473" s="378"/>
      <c r="L473" s="378"/>
      <c r="M473" s="378"/>
      <c r="N473" s="378"/>
      <c r="O473" s="378"/>
      <c r="P473" s="378"/>
    </row>
    <row r="474" spans="1:16" ht="12.75">
      <c r="A474" s="378"/>
      <c r="B474" s="378"/>
      <c r="C474" s="378"/>
      <c r="D474" s="378"/>
      <c r="E474" s="378"/>
      <c r="F474" s="378"/>
      <c r="G474" s="378"/>
      <c r="H474" s="378"/>
      <c r="I474" s="378"/>
      <c r="J474" s="378"/>
      <c r="K474" s="378"/>
      <c r="L474" s="378"/>
      <c r="M474" s="378"/>
      <c r="N474" s="378"/>
      <c r="O474" s="378"/>
      <c r="P474" s="378"/>
    </row>
    <row r="475" spans="1:16" ht="12.75">
      <c r="A475" s="378"/>
      <c r="B475" s="378"/>
      <c r="C475" s="378"/>
      <c r="D475" s="378"/>
      <c r="E475" s="378"/>
      <c r="F475" s="378"/>
      <c r="G475" s="378"/>
      <c r="H475" s="378"/>
      <c r="I475" s="378"/>
      <c r="J475" s="378"/>
      <c r="K475" s="378"/>
      <c r="L475" s="378"/>
      <c r="M475" s="378"/>
      <c r="N475" s="378"/>
      <c r="O475" s="378"/>
      <c r="P475" s="378"/>
    </row>
    <row r="476" spans="1:16" ht="12.75">
      <c r="A476" s="378"/>
      <c r="B476" s="378"/>
      <c r="C476" s="378"/>
      <c r="D476" s="378"/>
      <c r="E476" s="378"/>
      <c r="F476" s="378"/>
      <c r="G476" s="378"/>
      <c r="H476" s="378"/>
      <c r="I476" s="378"/>
      <c r="J476" s="378"/>
      <c r="K476" s="378"/>
      <c r="L476" s="378"/>
      <c r="M476" s="378"/>
      <c r="N476" s="378"/>
      <c r="O476" s="378"/>
      <c r="P476" s="378"/>
    </row>
    <row r="477" spans="1:16" ht="12.75">
      <c r="A477" s="378"/>
      <c r="B477" s="378"/>
      <c r="C477" s="378"/>
      <c r="D477" s="378"/>
      <c r="E477" s="378"/>
      <c r="F477" s="378"/>
      <c r="G477" s="378"/>
      <c r="H477" s="378"/>
      <c r="I477" s="378"/>
      <c r="J477" s="378"/>
      <c r="K477" s="378"/>
      <c r="L477" s="378"/>
      <c r="M477" s="378"/>
      <c r="N477" s="378"/>
      <c r="O477" s="378"/>
      <c r="P477" s="378"/>
    </row>
    <row r="478" spans="1:16" ht="12.75">
      <c r="A478" s="378"/>
      <c r="B478" s="378"/>
      <c r="C478" s="378"/>
      <c r="D478" s="378"/>
      <c r="E478" s="378"/>
      <c r="F478" s="378"/>
      <c r="G478" s="378"/>
      <c r="H478" s="378"/>
      <c r="I478" s="378"/>
      <c r="J478" s="378"/>
      <c r="K478" s="378"/>
      <c r="L478" s="378"/>
      <c r="M478" s="378"/>
      <c r="N478" s="378"/>
      <c r="O478" s="378"/>
      <c r="P478" s="378"/>
    </row>
    <row r="479" spans="1:16" ht="12.75">
      <c r="A479" s="378"/>
      <c r="B479" s="378"/>
      <c r="C479" s="378"/>
      <c r="D479" s="378"/>
      <c r="E479" s="378"/>
      <c r="F479" s="378"/>
      <c r="G479" s="378"/>
      <c r="H479" s="378"/>
      <c r="I479" s="378"/>
      <c r="J479" s="378"/>
      <c r="K479" s="378"/>
      <c r="L479" s="378"/>
      <c r="M479" s="378"/>
      <c r="N479" s="378"/>
      <c r="O479" s="378"/>
      <c r="P479" s="378"/>
    </row>
    <row r="480" spans="1:16" ht="12.75">
      <c r="A480" s="378"/>
      <c r="B480" s="378"/>
      <c r="C480" s="378"/>
      <c r="D480" s="378"/>
      <c r="E480" s="378"/>
      <c r="F480" s="378"/>
      <c r="G480" s="378"/>
      <c r="H480" s="378"/>
      <c r="I480" s="378"/>
      <c r="J480" s="378"/>
      <c r="K480" s="378"/>
      <c r="L480" s="378"/>
      <c r="M480" s="378"/>
      <c r="N480" s="378"/>
      <c r="O480" s="378"/>
      <c r="P480" s="378"/>
    </row>
    <row r="481" spans="1:16" ht="12.75">
      <c r="A481" s="378"/>
      <c r="B481" s="378"/>
      <c r="C481" s="378"/>
      <c r="D481" s="378"/>
      <c r="E481" s="378"/>
      <c r="F481" s="378"/>
      <c r="G481" s="378"/>
      <c r="H481" s="378"/>
      <c r="I481" s="378"/>
      <c r="J481" s="378"/>
      <c r="K481" s="378"/>
      <c r="L481" s="378"/>
      <c r="M481" s="378"/>
      <c r="N481" s="378"/>
      <c r="O481" s="378"/>
      <c r="P481" s="378"/>
    </row>
    <row r="482" spans="1:16" ht="12.75">
      <c r="A482" s="378"/>
      <c r="B482" s="378"/>
      <c r="C482" s="378"/>
      <c r="D482" s="378"/>
      <c r="E482" s="378"/>
      <c r="F482" s="378"/>
      <c r="G482" s="378"/>
      <c r="H482" s="378"/>
      <c r="I482" s="378"/>
      <c r="J482" s="378"/>
      <c r="K482" s="378"/>
      <c r="L482" s="378"/>
      <c r="M482" s="378"/>
      <c r="N482" s="378"/>
      <c r="O482" s="378"/>
      <c r="P482" s="378"/>
    </row>
    <row r="483" spans="1:16" ht="12.75">
      <c r="A483" s="378"/>
      <c r="B483" s="378"/>
      <c r="C483" s="378"/>
      <c r="D483" s="378"/>
      <c r="E483" s="378"/>
      <c r="F483" s="378"/>
      <c r="G483" s="378"/>
      <c r="H483" s="378"/>
      <c r="I483" s="378"/>
      <c r="J483" s="378"/>
      <c r="K483" s="378"/>
      <c r="L483" s="378"/>
      <c r="M483" s="378"/>
      <c r="N483" s="378"/>
      <c r="O483" s="378"/>
      <c r="P483" s="378"/>
    </row>
    <row r="484" spans="1:16" ht="12.75">
      <c r="A484" s="378"/>
      <c r="B484" s="378"/>
      <c r="C484" s="378"/>
      <c r="D484" s="378"/>
      <c r="E484" s="378"/>
      <c r="F484" s="378"/>
      <c r="G484" s="378"/>
      <c r="H484" s="378"/>
      <c r="I484" s="378"/>
      <c r="J484" s="378"/>
      <c r="K484" s="378"/>
      <c r="L484" s="378"/>
      <c r="M484" s="378"/>
      <c r="N484" s="378"/>
      <c r="O484" s="378"/>
      <c r="P484" s="378"/>
    </row>
    <row r="485" spans="1:16" ht="12.75">
      <c r="A485" s="378"/>
      <c r="B485" s="378"/>
      <c r="C485" s="378"/>
      <c r="D485" s="378"/>
      <c r="E485" s="378"/>
      <c r="F485" s="378"/>
      <c r="G485" s="378"/>
      <c r="H485" s="378"/>
      <c r="I485" s="378"/>
      <c r="J485" s="378"/>
      <c r="K485" s="378"/>
      <c r="L485" s="378"/>
      <c r="M485" s="378"/>
      <c r="N485" s="378"/>
      <c r="O485" s="378"/>
      <c r="P485" s="378"/>
    </row>
    <row r="486" spans="1:16" ht="12.75">
      <c r="A486" s="378"/>
      <c r="B486" s="378"/>
      <c r="C486" s="378"/>
      <c r="D486" s="378"/>
      <c r="E486" s="378"/>
      <c r="F486" s="378"/>
      <c r="G486" s="378"/>
      <c r="H486" s="378"/>
      <c r="I486" s="378"/>
      <c r="J486" s="378"/>
      <c r="K486" s="378"/>
      <c r="L486" s="378"/>
      <c r="M486" s="378"/>
      <c r="N486" s="378"/>
      <c r="O486" s="378"/>
      <c r="P486" s="378"/>
    </row>
    <row r="487" spans="1:16" ht="12.75">
      <c r="A487" s="378"/>
      <c r="B487" s="378"/>
      <c r="C487" s="378"/>
      <c r="D487" s="378"/>
      <c r="E487" s="378"/>
      <c r="F487" s="378"/>
      <c r="G487" s="378"/>
      <c r="H487" s="378"/>
      <c r="I487" s="378"/>
      <c r="J487" s="378"/>
      <c r="K487" s="378"/>
      <c r="L487" s="378"/>
      <c r="M487" s="378"/>
      <c r="N487" s="378"/>
      <c r="O487" s="378"/>
      <c r="P487" s="378"/>
    </row>
    <row r="488" spans="1:16" ht="12.75">
      <c r="A488" s="378"/>
      <c r="B488" s="378"/>
      <c r="C488" s="378"/>
      <c r="D488" s="378"/>
      <c r="E488" s="378"/>
      <c r="F488" s="378"/>
      <c r="G488" s="378"/>
      <c r="H488" s="378"/>
      <c r="I488" s="378"/>
      <c r="J488" s="378"/>
      <c r="K488" s="378"/>
      <c r="L488" s="378"/>
      <c r="M488" s="378"/>
      <c r="N488" s="378"/>
      <c r="O488" s="378"/>
      <c r="P488" s="378"/>
    </row>
    <row r="489" spans="1:16" ht="12.75">
      <c r="A489" s="378"/>
      <c r="B489" s="378"/>
      <c r="C489" s="378"/>
      <c r="D489" s="378"/>
      <c r="E489" s="378"/>
      <c r="F489" s="378"/>
      <c r="G489" s="378"/>
      <c r="H489" s="378"/>
      <c r="I489" s="378"/>
      <c r="J489" s="378"/>
      <c r="K489" s="378"/>
      <c r="L489" s="378"/>
      <c r="M489" s="378"/>
      <c r="N489" s="378"/>
      <c r="O489" s="378"/>
      <c r="P489" s="378"/>
    </row>
    <row r="490" spans="1:16" ht="12.75">
      <c r="A490" s="378"/>
      <c r="B490" s="378"/>
      <c r="C490" s="378"/>
      <c r="D490" s="378"/>
      <c r="E490" s="378"/>
      <c r="F490" s="378"/>
      <c r="G490" s="378"/>
      <c r="H490" s="378"/>
      <c r="I490" s="378"/>
      <c r="J490" s="378"/>
      <c r="K490" s="378"/>
      <c r="L490" s="378"/>
      <c r="M490" s="378"/>
      <c r="N490" s="378"/>
      <c r="O490" s="378"/>
      <c r="P490" s="378"/>
    </row>
    <row r="491" spans="1:16" ht="12.75">
      <c r="A491" s="378"/>
      <c r="B491" s="378"/>
      <c r="C491" s="378"/>
      <c r="D491" s="378"/>
      <c r="E491" s="378"/>
      <c r="F491" s="378"/>
      <c r="G491" s="378"/>
      <c r="H491" s="378"/>
      <c r="I491" s="378"/>
      <c r="J491" s="378"/>
      <c r="K491" s="378"/>
      <c r="L491" s="378"/>
      <c r="M491" s="378"/>
      <c r="N491" s="378"/>
      <c r="O491" s="378"/>
      <c r="P491" s="378"/>
    </row>
    <row r="492" spans="1:16" ht="12.75">
      <c r="A492" s="378"/>
      <c r="B492" s="378"/>
      <c r="C492" s="378"/>
      <c r="D492" s="378"/>
      <c r="E492" s="378"/>
      <c r="F492" s="378"/>
      <c r="G492" s="378"/>
      <c r="H492" s="378"/>
      <c r="I492" s="378"/>
      <c r="J492" s="378"/>
      <c r="K492" s="378"/>
      <c r="L492" s="378"/>
      <c r="M492" s="378"/>
      <c r="N492" s="378"/>
      <c r="O492" s="378"/>
      <c r="P492" s="378"/>
    </row>
    <row r="493" spans="1:16" ht="12.75">
      <c r="A493" s="378"/>
      <c r="B493" s="378"/>
      <c r="C493" s="378"/>
      <c r="D493" s="378"/>
      <c r="E493" s="378"/>
      <c r="F493" s="378"/>
      <c r="G493" s="378"/>
      <c r="H493" s="378"/>
      <c r="I493" s="378"/>
      <c r="J493" s="378"/>
      <c r="K493" s="378"/>
      <c r="L493" s="378"/>
      <c r="M493" s="378"/>
      <c r="N493" s="378"/>
      <c r="O493" s="378"/>
      <c r="P493" s="378"/>
    </row>
    <row r="494" spans="1:16" ht="12.75">
      <c r="A494" s="378"/>
      <c r="B494" s="378"/>
      <c r="C494" s="378"/>
      <c r="D494" s="378"/>
      <c r="E494" s="378"/>
      <c r="F494" s="378"/>
      <c r="G494" s="378"/>
      <c r="H494" s="378"/>
      <c r="I494" s="378"/>
      <c r="J494" s="378"/>
      <c r="K494" s="378"/>
      <c r="L494" s="378"/>
      <c r="M494" s="378"/>
      <c r="N494" s="378"/>
      <c r="O494" s="378"/>
      <c r="P494" s="378"/>
    </row>
    <row r="495" spans="1:16" ht="12.75">
      <c r="A495" s="378"/>
      <c r="B495" s="378"/>
      <c r="C495" s="378"/>
      <c r="D495" s="378"/>
      <c r="E495" s="378"/>
      <c r="F495" s="378"/>
      <c r="G495" s="378"/>
      <c r="H495" s="378"/>
      <c r="I495" s="378"/>
      <c r="J495" s="378"/>
      <c r="K495" s="378"/>
      <c r="L495" s="378"/>
      <c r="M495" s="378"/>
      <c r="N495" s="378"/>
      <c r="O495" s="378"/>
      <c r="P495" s="378"/>
    </row>
    <row r="496" spans="1:16" ht="12.75">
      <c r="A496" s="378"/>
      <c r="B496" s="378"/>
      <c r="C496" s="378"/>
      <c r="D496" s="378"/>
      <c r="E496" s="378"/>
      <c r="F496" s="378"/>
      <c r="G496" s="378"/>
      <c r="H496" s="378"/>
      <c r="I496" s="378"/>
      <c r="J496" s="378"/>
      <c r="K496" s="378"/>
      <c r="L496" s="378"/>
      <c r="M496" s="378"/>
      <c r="N496" s="378"/>
      <c r="O496" s="378"/>
      <c r="P496" s="378"/>
    </row>
    <row r="497" spans="1:16" ht="12.75">
      <c r="A497" s="378"/>
      <c r="B497" s="378"/>
      <c r="C497" s="378"/>
      <c r="D497" s="378"/>
      <c r="E497" s="378"/>
      <c r="F497" s="378"/>
      <c r="G497" s="378"/>
      <c r="H497" s="378"/>
      <c r="I497" s="378"/>
      <c r="J497" s="378"/>
      <c r="K497" s="378"/>
      <c r="L497" s="378"/>
      <c r="M497" s="378"/>
      <c r="N497" s="378"/>
      <c r="O497" s="378"/>
      <c r="P497" s="378"/>
    </row>
    <row r="498" spans="1:16" ht="12.75">
      <c r="A498" s="378"/>
      <c r="B498" s="378"/>
      <c r="C498" s="378"/>
      <c r="D498" s="378"/>
      <c r="E498" s="378"/>
      <c r="F498" s="378"/>
      <c r="G498" s="378"/>
      <c r="H498" s="378"/>
      <c r="I498" s="378"/>
      <c r="J498" s="378"/>
      <c r="K498" s="378"/>
      <c r="L498" s="378"/>
      <c r="M498" s="378"/>
      <c r="N498" s="378"/>
      <c r="O498" s="378"/>
      <c r="P498" s="378"/>
    </row>
    <row r="499" spans="1:16" ht="12.75">
      <c r="A499" s="378"/>
      <c r="B499" s="378"/>
      <c r="C499" s="378"/>
      <c r="D499" s="378"/>
      <c r="E499" s="378"/>
      <c r="F499" s="378"/>
      <c r="G499" s="378"/>
      <c r="H499" s="378"/>
      <c r="I499" s="378"/>
      <c r="J499" s="378"/>
      <c r="K499" s="378"/>
      <c r="L499" s="378"/>
      <c r="M499" s="378"/>
      <c r="N499" s="378"/>
      <c r="O499" s="378"/>
      <c r="P499" s="378"/>
    </row>
    <row r="500" spans="1:16" ht="12.75">
      <c r="A500" s="378"/>
      <c r="B500" s="378"/>
      <c r="C500" s="378"/>
      <c r="D500" s="378"/>
      <c r="E500" s="378"/>
      <c r="F500" s="378"/>
      <c r="G500" s="378"/>
      <c r="H500" s="378"/>
      <c r="I500" s="378"/>
      <c r="J500" s="378"/>
      <c r="K500" s="378"/>
      <c r="L500" s="378"/>
      <c r="M500" s="378"/>
      <c r="N500" s="378"/>
      <c r="O500" s="378"/>
      <c r="P500" s="378"/>
    </row>
    <row r="501" spans="1:16" ht="12.75">
      <c r="A501" s="378"/>
      <c r="B501" s="378"/>
      <c r="C501" s="378"/>
      <c r="D501" s="378"/>
      <c r="E501" s="378"/>
      <c r="F501" s="378"/>
      <c r="G501" s="378"/>
      <c r="H501" s="378"/>
      <c r="I501" s="378"/>
      <c r="J501" s="378"/>
      <c r="K501" s="378"/>
      <c r="L501" s="378"/>
      <c r="M501" s="378"/>
      <c r="N501" s="378"/>
      <c r="O501" s="378"/>
      <c r="P501" s="378"/>
    </row>
    <row r="502" spans="1:16" ht="12.75">
      <c r="A502" s="378"/>
      <c r="B502" s="378"/>
      <c r="C502" s="378"/>
      <c r="D502" s="378"/>
      <c r="E502" s="378"/>
      <c r="F502" s="378"/>
      <c r="G502" s="378"/>
      <c r="H502" s="378"/>
      <c r="I502" s="378"/>
      <c r="J502" s="378"/>
      <c r="K502" s="378"/>
      <c r="L502" s="378"/>
      <c r="M502" s="378"/>
      <c r="N502" s="378"/>
      <c r="O502" s="378"/>
      <c r="P502" s="378"/>
    </row>
    <row r="503" spans="1:16" ht="12.75">
      <c r="A503" s="378"/>
      <c r="B503" s="378"/>
      <c r="C503" s="378"/>
      <c r="D503" s="378"/>
      <c r="E503" s="378"/>
      <c r="F503" s="378"/>
      <c r="G503" s="378"/>
      <c r="H503" s="378"/>
      <c r="I503" s="378"/>
      <c r="J503" s="378"/>
      <c r="K503" s="378"/>
      <c r="L503" s="378"/>
      <c r="M503" s="378"/>
      <c r="N503" s="378"/>
      <c r="O503" s="378"/>
      <c r="P503" s="378"/>
    </row>
    <row r="504" spans="1:16" ht="12.75">
      <c r="A504" s="378"/>
      <c r="B504" s="378"/>
      <c r="C504" s="378"/>
      <c r="D504" s="378"/>
      <c r="E504" s="378"/>
      <c r="F504" s="378"/>
      <c r="G504" s="378"/>
      <c r="H504" s="378"/>
      <c r="I504" s="378"/>
      <c r="J504" s="378"/>
      <c r="K504" s="378"/>
      <c r="L504" s="378"/>
      <c r="M504" s="378"/>
      <c r="N504" s="378"/>
      <c r="O504" s="378"/>
      <c r="P504" s="378"/>
    </row>
    <row r="505" spans="1:16" ht="12.75">
      <c r="A505" s="378"/>
      <c r="B505" s="378"/>
      <c r="C505" s="378"/>
      <c r="D505" s="378"/>
      <c r="E505" s="378"/>
      <c r="F505" s="378"/>
      <c r="G505" s="378"/>
      <c r="H505" s="378"/>
      <c r="I505" s="378"/>
      <c r="J505" s="378"/>
      <c r="K505" s="378"/>
      <c r="L505" s="378"/>
      <c r="M505" s="378"/>
      <c r="N505" s="378"/>
      <c r="O505" s="378"/>
      <c r="P505" s="378"/>
    </row>
    <row r="506" spans="1:16" ht="12.75">
      <c r="A506" s="378"/>
      <c r="B506" s="378"/>
      <c r="C506" s="378"/>
      <c r="D506" s="378"/>
      <c r="E506" s="378"/>
      <c r="F506" s="378"/>
      <c r="G506" s="378"/>
      <c r="H506" s="378"/>
      <c r="I506" s="378"/>
      <c r="J506" s="378"/>
      <c r="K506" s="378"/>
      <c r="L506" s="378"/>
      <c r="M506" s="378"/>
      <c r="N506" s="378"/>
      <c r="O506" s="378"/>
      <c r="P506" s="378"/>
    </row>
    <row r="507" spans="1:16" ht="12.75">
      <c r="A507" s="378"/>
      <c r="B507" s="378"/>
      <c r="C507" s="378"/>
      <c r="D507" s="378"/>
      <c r="E507" s="378"/>
      <c r="F507" s="378"/>
      <c r="G507" s="378"/>
      <c r="H507" s="378"/>
      <c r="I507" s="378"/>
      <c r="J507" s="378"/>
      <c r="K507" s="378"/>
      <c r="L507" s="378"/>
      <c r="M507" s="378"/>
      <c r="N507" s="378"/>
      <c r="O507" s="378"/>
      <c r="P507" s="378"/>
    </row>
    <row r="508" spans="1:16" ht="12.75">
      <c r="A508" s="378"/>
      <c r="B508" s="378"/>
      <c r="C508" s="378"/>
      <c r="D508" s="378"/>
      <c r="E508" s="378"/>
      <c r="F508" s="378"/>
      <c r="G508" s="378"/>
      <c r="H508" s="378"/>
      <c r="I508" s="378"/>
      <c r="J508" s="378"/>
      <c r="K508" s="378"/>
      <c r="L508" s="378"/>
      <c r="M508" s="378"/>
      <c r="N508" s="378"/>
      <c r="O508" s="378"/>
      <c r="P508" s="378"/>
    </row>
    <row r="509" spans="1:16" ht="12.75">
      <c r="A509" s="378"/>
      <c r="B509" s="378"/>
      <c r="C509" s="378"/>
      <c r="D509" s="378"/>
      <c r="E509" s="378"/>
      <c r="F509" s="378"/>
      <c r="G509" s="378"/>
      <c r="H509" s="378"/>
      <c r="I509" s="378"/>
      <c r="J509" s="378"/>
      <c r="K509" s="378"/>
      <c r="L509" s="378"/>
      <c r="M509" s="378"/>
      <c r="N509" s="378"/>
      <c r="O509" s="378"/>
      <c r="P509" s="378"/>
    </row>
    <row r="510" spans="1:16" ht="12.75">
      <c r="A510" s="378"/>
      <c r="B510" s="378"/>
      <c r="C510" s="378"/>
      <c r="D510" s="378"/>
      <c r="E510" s="378"/>
      <c r="F510" s="378"/>
      <c r="G510" s="378"/>
      <c r="H510" s="378"/>
      <c r="I510" s="378"/>
      <c r="J510" s="378"/>
      <c r="K510" s="378"/>
      <c r="L510" s="378"/>
      <c r="M510" s="378"/>
      <c r="N510" s="378"/>
      <c r="O510" s="378"/>
      <c r="P510" s="378"/>
    </row>
    <row r="511" spans="1:16" ht="12.75">
      <c r="A511" s="378"/>
      <c r="B511" s="378"/>
      <c r="C511" s="378"/>
      <c r="D511" s="378"/>
      <c r="E511" s="378"/>
      <c r="F511" s="378"/>
      <c r="G511" s="378"/>
      <c r="H511" s="378"/>
      <c r="I511" s="378"/>
      <c r="J511" s="378"/>
      <c r="K511" s="378"/>
      <c r="L511" s="378"/>
      <c r="M511" s="378"/>
      <c r="N511" s="378"/>
      <c r="O511" s="378"/>
      <c r="P511" s="378"/>
    </row>
    <row r="512" spans="1:16" ht="12.75">
      <c r="A512" s="378"/>
      <c r="B512" s="378"/>
      <c r="C512" s="378"/>
      <c r="D512" s="378"/>
      <c r="E512" s="378"/>
      <c r="F512" s="378"/>
      <c r="G512" s="378"/>
      <c r="H512" s="378"/>
      <c r="I512" s="378"/>
      <c r="J512" s="378"/>
      <c r="K512" s="378"/>
      <c r="L512" s="378"/>
      <c r="M512" s="378"/>
      <c r="N512" s="378"/>
      <c r="O512" s="378"/>
      <c r="P512" s="378"/>
    </row>
    <row r="513" spans="1:16" ht="12.75">
      <c r="A513" s="378"/>
      <c r="B513" s="378"/>
      <c r="C513" s="378"/>
      <c r="D513" s="378"/>
      <c r="E513" s="378"/>
      <c r="F513" s="378"/>
      <c r="G513" s="378"/>
      <c r="H513" s="378"/>
      <c r="I513" s="378"/>
      <c r="J513" s="378"/>
      <c r="K513" s="378"/>
      <c r="L513" s="378"/>
      <c r="M513" s="378"/>
      <c r="N513" s="378"/>
      <c r="O513" s="378"/>
      <c r="P513" s="378"/>
    </row>
    <row r="514" spans="1:16" ht="12.75">
      <c r="A514" s="378"/>
      <c r="B514" s="378"/>
      <c r="C514" s="378"/>
      <c r="D514" s="378"/>
      <c r="E514" s="378"/>
      <c r="F514" s="378"/>
      <c r="G514" s="378"/>
      <c r="H514" s="378"/>
      <c r="I514" s="378"/>
      <c r="J514" s="378"/>
      <c r="K514" s="378"/>
      <c r="L514" s="378"/>
      <c r="M514" s="378"/>
      <c r="N514" s="378"/>
      <c r="O514" s="378"/>
      <c r="P514" s="378"/>
    </row>
    <row r="515" spans="1:16" ht="12.75">
      <c r="A515" s="378"/>
      <c r="B515" s="378"/>
      <c r="C515" s="378"/>
      <c r="D515" s="378"/>
      <c r="E515" s="378"/>
      <c r="F515" s="378"/>
      <c r="G515" s="378"/>
      <c r="H515" s="378"/>
      <c r="I515" s="378"/>
      <c r="J515" s="378"/>
      <c r="K515" s="378"/>
      <c r="L515" s="378"/>
      <c r="M515" s="378"/>
      <c r="N515" s="378"/>
      <c r="O515" s="378"/>
      <c r="P515" s="378"/>
    </row>
    <row r="516" spans="1:16" ht="12.75">
      <c r="A516" s="378"/>
      <c r="B516" s="378"/>
      <c r="C516" s="378"/>
      <c r="D516" s="378"/>
      <c r="E516" s="378"/>
      <c r="F516" s="378"/>
      <c r="G516" s="378"/>
      <c r="H516" s="378"/>
      <c r="I516" s="378"/>
      <c r="J516" s="378"/>
      <c r="K516" s="378"/>
      <c r="L516" s="378"/>
      <c r="M516" s="378"/>
      <c r="N516" s="378"/>
      <c r="O516" s="378"/>
      <c r="P516" s="378"/>
    </row>
    <row r="517" spans="1:16" ht="12.75">
      <c r="A517" s="378"/>
      <c r="B517" s="378"/>
      <c r="C517" s="378"/>
      <c r="D517" s="378"/>
      <c r="E517" s="378"/>
      <c r="F517" s="378"/>
      <c r="G517" s="378"/>
      <c r="H517" s="378"/>
      <c r="I517" s="378"/>
      <c r="J517" s="378"/>
      <c r="K517" s="378"/>
      <c r="L517" s="378"/>
      <c r="M517" s="378"/>
      <c r="N517" s="378"/>
      <c r="O517" s="378"/>
      <c r="P517" s="378"/>
    </row>
    <row r="518" spans="1:16" ht="12.75">
      <c r="A518" s="378"/>
      <c r="B518" s="378"/>
      <c r="C518" s="378"/>
      <c r="D518" s="378"/>
      <c r="E518" s="378"/>
      <c r="F518" s="378"/>
      <c r="G518" s="378"/>
      <c r="H518" s="378"/>
      <c r="I518" s="378"/>
      <c r="J518" s="378"/>
      <c r="K518" s="378"/>
      <c r="L518" s="378"/>
      <c r="M518" s="378"/>
      <c r="N518" s="378"/>
      <c r="O518" s="378"/>
      <c r="P518" s="378"/>
    </row>
    <row r="519" spans="1:16" ht="12.75">
      <c r="A519" s="378"/>
      <c r="B519" s="378"/>
      <c r="C519" s="378"/>
      <c r="D519" s="378"/>
      <c r="E519" s="378"/>
      <c r="F519" s="378"/>
      <c r="G519" s="378"/>
      <c r="H519" s="378"/>
      <c r="I519" s="378"/>
      <c r="J519" s="378"/>
      <c r="K519" s="378"/>
      <c r="L519" s="378"/>
      <c r="M519" s="378"/>
      <c r="N519" s="378"/>
      <c r="O519" s="378"/>
      <c r="P519" s="378"/>
    </row>
    <row r="520" spans="1:16" ht="12.75">
      <c r="A520" s="378"/>
      <c r="B520" s="378"/>
      <c r="C520" s="378"/>
      <c r="D520" s="378"/>
      <c r="E520" s="378"/>
      <c r="F520" s="378"/>
      <c r="G520" s="378"/>
      <c r="H520" s="378"/>
      <c r="I520" s="378"/>
      <c r="J520" s="378"/>
      <c r="K520" s="378"/>
      <c r="L520" s="378"/>
      <c r="M520" s="378"/>
      <c r="N520" s="378"/>
      <c r="O520" s="378"/>
      <c r="P520" s="378"/>
    </row>
    <row r="521" spans="1:16" ht="12.75">
      <c r="A521" s="378"/>
      <c r="B521" s="378"/>
      <c r="C521" s="378"/>
      <c r="D521" s="378"/>
      <c r="E521" s="378"/>
      <c r="F521" s="378"/>
      <c r="G521" s="378"/>
      <c r="H521" s="378"/>
      <c r="I521" s="378"/>
      <c r="J521" s="378"/>
      <c r="K521" s="378"/>
      <c r="L521" s="378"/>
      <c r="M521" s="378"/>
      <c r="N521" s="378"/>
      <c r="O521" s="378"/>
      <c r="P521" s="378"/>
    </row>
    <row r="522" spans="1:16" ht="12.75">
      <c r="A522" s="378"/>
      <c r="B522" s="378"/>
      <c r="C522" s="378"/>
      <c r="D522" s="378"/>
      <c r="E522" s="378"/>
      <c r="F522" s="378"/>
      <c r="G522" s="378"/>
      <c r="H522" s="378"/>
      <c r="I522" s="378"/>
      <c r="J522" s="378"/>
      <c r="K522" s="378"/>
      <c r="L522" s="378"/>
      <c r="M522" s="378"/>
      <c r="N522" s="378"/>
      <c r="O522" s="378"/>
      <c r="P522" s="378"/>
    </row>
    <row r="523" spans="1:16" ht="12.75">
      <c r="A523" s="378"/>
      <c r="B523" s="378"/>
      <c r="C523" s="378"/>
      <c r="D523" s="378"/>
      <c r="E523" s="378"/>
      <c r="F523" s="378"/>
      <c r="G523" s="378"/>
      <c r="H523" s="378"/>
      <c r="I523" s="378"/>
      <c r="J523" s="378"/>
      <c r="K523" s="378"/>
      <c r="L523" s="378"/>
      <c r="M523" s="378"/>
      <c r="N523" s="378"/>
      <c r="O523" s="378"/>
      <c r="P523" s="378"/>
    </row>
    <row r="524" spans="1:16" ht="12.75">
      <c r="A524" s="378"/>
      <c r="B524" s="378"/>
      <c r="C524" s="378"/>
      <c r="D524" s="378"/>
      <c r="E524" s="378"/>
      <c r="F524" s="378"/>
      <c r="G524" s="378"/>
      <c r="H524" s="378"/>
      <c r="I524" s="378"/>
      <c r="J524" s="378"/>
      <c r="K524" s="378"/>
      <c r="L524" s="378"/>
      <c r="M524" s="378"/>
      <c r="N524" s="378"/>
      <c r="O524" s="378"/>
      <c r="P524" s="378"/>
    </row>
    <row r="525" spans="1:16" ht="12.75">
      <c r="A525" s="378"/>
      <c r="B525" s="378"/>
      <c r="C525" s="378"/>
      <c r="D525" s="378"/>
      <c r="E525" s="378"/>
      <c r="F525" s="378"/>
      <c r="G525" s="378"/>
      <c r="H525" s="378"/>
      <c r="I525" s="378"/>
      <c r="J525" s="378"/>
      <c r="K525" s="378"/>
      <c r="L525" s="378"/>
      <c r="M525" s="378"/>
      <c r="N525" s="378"/>
      <c r="O525" s="378"/>
      <c r="P525" s="378"/>
    </row>
    <row r="526" spans="1:16" ht="12.75">
      <c r="A526" s="378"/>
      <c r="B526" s="378"/>
      <c r="C526" s="378"/>
      <c r="D526" s="378"/>
      <c r="E526" s="378"/>
      <c r="F526" s="378"/>
      <c r="G526" s="378"/>
      <c r="H526" s="378"/>
      <c r="I526" s="378"/>
      <c r="J526" s="378"/>
      <c r="K526" s="378"/>
      <c r="L526" s="378"/>
      <c r="M526" s="378"/>
      <c r="N526" s="378"/>
      <c r="O526" s="378"/>
      <c r="P526" s="378"/>
    </row>
    <row r="527" spans="1:16" ht="12.75">
      <c r="A527" s="378"/>
      <c r="B527" s="378"/>
      <c r="C527" s="378"/>
      <c r="D527" s="378"/>
      <c r="E527" s="378"/>
      <c r="F527" s="378"/>
      <c r="G527" s="378"/>
      <c r="H527" s="378"/>
      <c r="I527" s="378"/>
      <c r="J527" s="378"/>
      <c r="K527" s="378"/>
      <c r="L527" s="378"/>
      <c r="M527" s="378"/>
      <c r="N527" s="378"/>
      <c r="O527" s="378"/>
      <c r="P527" s="378"/>
    </row>
    <row r="528" spans="1:16" ht="12.75">
      <c r="A528" s="378"/>
      <c r="B528" s="378"/>
      <c r="C528" s="378"/>
      <c r="D528" s="378"/>
      <c r="E528" s="378"/>
      <c r="F528" s="378"/>
      <c r="G528" s="378"/>
      <c r="H528" s="378"/>
      <c r="I528" s="378"/>
      <c r="J528" s="378"/>
      <c r="K528" s="378"/>
      <c r="L528" s="378"/>
      <c r="M528" s="378"/>
      <c r="N528" s="378"/>
      <c r="O528" s="378"/>
      <c r="P528" s="378"/>
    </row>
    <row r="529" spans="1:16" ht="12.75">
      <c r="A529" s="378"/>
      <c r="B529" s="378"/>
      <c r="C529" s="378"/>
      <c r="D529" s="378"/>
      <c r="E529" s="378"/>
      <c r="F529" s="378"/>
      <c r="G529" s="378"/>
      <c r="H529" s="378"/>
      <c r="I529" s="378"/>
      <c r="J529" s="378"/>
      <c r="K529" s="378"/>
      <c r="L529" s="378"/>
      <c r="M529" s="378"/>
      <c r="N529" s="378"/>
      <c r="O529" s="378"/>
      <c r="P529" s="378"/>
    </row>
    <row r="530" spans="1:16" ht="12.75">
      <c r="A530" s="378"/>
      <c r="B530" s="378"/>
      <c r="C530" s="378"/>
      <c r="D530" s="378"/>
      <c r="E530" s="378"/>
      <c r="F530" s="378"/>
      <c r="G530" s="378"/>
      <c r="H530" s="378"/>
      <c r="I530" s="378"/>
      <c r="J530" s="378"/>
      <c r="K530" s="378"/>
      <c r="L530" s="378"/>
      <c r="M530" s="378"/>
      <c r="N530" s="378"/>
      <c r="O530" s="378"/>
      <c r="P530" s="378"/>
    </row>
    <row r="531" spans="1:16" ht="12.75">
      <c r="A531" s="378"/>
      <c r="B531" s="378"/>
      <c r="C531" s="378"/>
      <c r="D531" s="378"/>
      <c r="E531" s="378"/>
      <c r="F531" s="378"/>
      <c r="G531" s="378"/>
      <c r="H531" s="378"/>
      <c r="I531" s="378"/>
      <c r="J531" s="378"/>
      <c r="K531" s="378"/>
      <c r="L531" s="378"/>
      <c r="M531" s="378"/>
      <c r="N531" s="378"/>
      <c r="O531" s="378"/>
      <c r="P531" s="378"/>
    </row>
    <row r="532" spans="1:16" ht="12.75">
      <c r="A532" s="378"/>
      <c r="B532" s="378"/>
      <c r="C532" s="378"/>
      <c r="D532" s="378"/>
      <c r="E532" s="378"/>
      <c r="F532" s="378"/>
      <c r="G532" s="378"/>
      <c r="H532" s="378"/>
      <c r="I532" s="378"/>
      <c r="J532" s="378"/>
      <c r="K532" s="378"/>
      <c r="L532" s="378"/>
      <c r="M532" s="378"/>
      <c r="N532" s="378"/>
      <c r="O532" s="378"/>
      <c r="P532" s="378"/>
    </row>
    <row r="533" spans="1:16" ht="12.75">
      <c r="A533" s="378"/>
      <c r="B533" s="378"/>
      <c r="C533" s="378"/>
      <c r="D533" s="378"/>
      <c r="E533" s="378"/>
      <c r="F533" s="378"/>
      <c r="G533" s="378"/>
      <c r="H533" s="378"/>
      <c r="I533" s="378"/>
      <c r="J533" s="378"/>
      <c r="K533" s="378"/>
      <c r="L533" s="378"/>
      <c r="M533" s="378"/>
      <c r="N533" s="378"/>
      <c r="O533" s="378"/>
      <c r="P533" s="378"/>
    </row>
    <row r="534" spans="1:16" ht="12.75">
      <c r="A534" s="378"/>
      <c r="B534" s="378"/>
      <c r="C534" s="378"/>
      <c r="D534" s="378"/>
      <c r="E534" s="378"/>
      <c r="F534" s="378"/>
      <c r="G534" s="378"/>
      <c r="H534" s="378"/>
      <c r="I534" s="378"/>
      <c r="J534" s="378"/>
      <c r="K534" s="378"/>
      <c r="L534" s="378"/>
      <c r="M534" s="378"/>
      <c r="N534" s="378"/>
      <c r="O534" s="378"/>
      <c r="P534" s="378"/>
    </row>
    <row r="535" spans="1:16" ht="12.75">
      <c r="A535" s="378"/>
      <c r="B535" s="378"/>
      <c r="C535" s="378"/>
      <c r="D535" s="378"/>
      <c r="E535" s="378"/>
      <c r="F535" s="378"/>
      <c r="G535" s="378"/>
      <c r="H535" s="378"/>
      <c r="I535" s="378"/>
      <c r="J535" s="378"/>
      <c r="K535" s="378"/>
      <c r="L535" s="378"/>
      <c r="M535" s="378"/>
      <c r="N535" s="378"/>
      <c r="O535" s="378"/>
      <c r="P535" s="378"/>
    </row>
    <row r="536" spans="1:16" ht="12.75">
      <c r="A536" s="378"/>
      <c r="B536" s="378"/>
      <c r="C536" s="378"/>
      <c r="D536" s="378"/>
      <c r="E536" s="378"/>
      <c r="F536" s="378"/>
      <c r="G536" s="378"/>
      <c r="H536" s="378"/>
      <c r="I536" s="378"/>
      <c r="J536" s="378"/>
      <c r="K536" s="378"/>
      <c r="L536" s="378"/>
      <c r="M536" s="378"/>
      <c r="N536" s="378"/>
      <c r="O536" s="378"/>
      <c r="P536" s="378"/>
    </row>
    <row r="537" spans="1:16" ht="12.75">
      <c r="A537" s="378"/>
      <c r="B537" s="378"/>
      <c r="C537" s="378"/>
      <c r="D537" s="378"/>
      <c r="E537" s="378"/>
      <c r="F537" s="378"/>
      <c r="G537" s="378"/>
      <c r="H537" s="378"/>
      <c r="I537" s="378"/>
      <c r="J537" s="378"/>
      <c r="K537" s="378"/>
      <c r="L537" s="378"/>
      <c r="M537" s="378"/>
      <c r="N537" s="378"/>
      <c r="O537" s="378"/>
      <c r="P537" s="378"/>
    </row>
    <row r="538" spans="1:16" ht="12.75">
      <c r="A538" s="378"/>
      <c r="B538" s="378"/>
      <c r="C538" s="378"/>
      <c r="D538" s="378"/>
      <c r="E538" s="378"/>
      <c r="F538" s="378"/>
      <c r="G538" s="378"/>
      <c r="H538" s="378"/>
      <c r="I538" s="378"/>
      <c r="J538" s="378"/>
      <c r="K538" s="378"/>
      <c r="L538" s="378"/>
      <c r="M538" s="378"/>
      <c r="N538" s="378"/>
      <c r="O538" s="378"/>
      <c r="P538" s="378"/>
    </row>
    <row r="539" spans="1:16" ht="12.75">
      <c r="A539" s="378"/>
      <c r="B539" s="378"/>
      <c r="C539" s="378"/>
      <c r="D539" s="378"/>
      <c r="E539" s="378"/>
      <c r="F539" s="378"/>
      <c r="G539" s="378"/>
      <c r="H539" s="378"/>
      <c r="I539" s="378"/>
      <c r="J539" s="378"/>
      <c r="K539" s="378"/>
      <c r="L539" s="378"/>
      <c r="M539" s="378"/>
      <c r="N539" s="378"/>
      <c r="O539" s="378"/>
      <c r="P539" s="378"/>
    </row>
    <row r="540" spans="1:16" ht="12.75">
      <c r="A540" s="378"/>
      <c r="B540" s="378"/>
      <c r="C540" s="378"/>
      <c r="D540" s="378"/>
      <c r="E540" s="378"/>
      <c r="F540" s="378"/>
      <c r="G540" s="378"/>
      <c r="H540" s="378"/>
      <c r="I540" s="378"/>
      <c r="J540" s="378"/>
      <c r="K540" s="378"/>
      <c r="L540" s="378"/>
      <c r="M540" s="378"/>
      <c r="N540" s="378"/>
      <c r="O540" s="378"/>
      <c r="P540" s="378"/>
    </row>
    <row r="541" spans="1:16" ht="12.75">
      <c r="A541" s="378"/>
      <c r="B541" s="378"/>
      <c r="C541" s="378"/>
      <c r="D541" s="378"/>
      <c r="E541" s="378"/>
      <c r="F541" s="378"/>
      <c r="G541" s="378"/>
      <c r="H541" s="378"/>
      <c r="I541" s="378"/>
      <c r="J541" s="378"/>
      <c r="K541" s="378"/>
      <c r="L541" s="378"/>
      <c r="M541" s="378"/>
      <c r="N541" s="378"/>
      <c r="O541" s="378"/>
      <c r="P541" s="378"/>
    </row>
    <row r="542" spans="1:16" ht="12.75">
      <c r="A542" s="378"/>
      <c r="B542" s="378"/>
      <c r="C542" s="378"/>
      <c r="D542" s="378"/>
      <c r="E542" s="378"/>
      <c r="F542" s="378"/>
      <c r="G542" s="378"/>
      <c r="H542" s="378"/>
      <c r="I542" s="378"/>
      <c r="J542" s="378"/>
      <c r="K542" s="378"/>
      <c r="L542" s="378"/>
      <c r="M542" s="378"/>
      <c r="N542" s="378"/>
      <c r="O542" s="378"/>
      <c r="P542" s="378"/>
    </row>
    <row r="543" spans="1:16" ht="12.75">
      <c r="A543" s="378"/>
      <c r="B543" s="378"/>
      <c r="C543" s="378"/>
      <c r="D543" s="378"/>
      <c r="E543" s="378"/>
      <c r="F543" s="378"/>
      <c r="G543" s="378"/>
      <c r="H543" s="378"/>
      <c r="I543" s="378"/>
      <c r="J543" s="378"/>
      <c r="K543" s="378"/>
      <c r="L543" s="378"/>
      <c r="M543" s="378"/>
      <c r="N543" s="378"/>
      <c r="O543" s="378"/>
      <c r="P543" s="378"/>
    </row>
    <row r="544" spans="1:16" ht="12.75">
      <c r="A544" s="378"/>
      <c r="B544" s="378"/>
      <c r="C544" s="378"/>
      <c r="D544" s="378"/>
      <c r="E544" s="378"/>
      <c r="F544" s="378"/>
      <c r="G544" s="378"/>
      <c r="H544" s="378"/>
      <c r="I544" s="378"/>
      <c r="J544" s="378"/>
      <c r="K544" s="378"/>
      <c r="L544" s="378"/>
      <c r="M544" s="378"/>
      <c r="N544" s="378"/>
      <c r="O544" s="378"/>
      <c r="P544" s="378"/>
    </row>
    <row r="545" spans="1:16" ht="12.75">
      <c r="A545" s="378"/>
      <c r="B545" s="378"/>
      <c r="C545" s="378"/>
      <c r="D545" s="378"/>
      <c r="E545" s="378"/>
      <c r="F545" s="378"/>
      <c r="G545" s="378"/>
      <c r="H545" s="378"/>
      <c r="I545" s="378"/>
      <c r="J545" s="378"/>
      <c r="K545" s="378"/>
      <c r="L545" s="378"/>
      <c r="M545" s="378"/>
      <c r="N545" s="378"/>
      <c r="O545" s="378"/>
      <c r="P545" s="378"/>
    </row>
  </sheetData>
  <mergeCells count="13">
    <mergeCell ref="A7:G7"/>
    <mergeCell ref="A17:G17"/>
    <mergeCell ref="A30:G30"/>
    <mergeCell ref="A56:G56"/>
    <mergeCell ref="B57:G57"/>
    <mergeCell ref="L5:M5"/>
    <mergeCell ref="N5:P5"/>
    <mergeCell ref="A1:P1"/>
    <mergeCell ref="A2:P2"/>
    <mergeCell ref="A3:P3"/>
    <mergeCell ref="H5:H6"/>
    <mergeCell ref="A5:G6"/>
    <mergeCell ref="I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pageOrder="overThenDown" orientation="portrait" cellComments="atEnd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3" manualBreakCount="3">
    <brk id="90" max="16383" man="1"/>
    <brk id="263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2023-12-26T07:18:10Z</cp:lastPrinted>
  <dcterms:modified xsi:type="dcterms:W3CDTF">2023-12-26T07:24:28Z</dcterms:modified>
</cp:coreProperties>
</file>